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CESSOS\2025\ARARICÁ\REAJUSTE TARIFÁRIO\"/>
    </mc:Choice>
  </mc:AlternateContent>
  <xr:revisionPtr revIDLastSave="0" documentId="8_{1163FF0F-409A-4364-99ED-CA0087C61D2E}" xr6:coauthVersionLast="47" xr6:coauthVersionMax="47" xr10:uidLastSave="{00000000-0000-0000-0000-000000000000}"/>
  <bookViews>
    <workbookView xWindow="-108" yWindow="-108" windowWidth="23256" windowHeight="12456" xr2:uid="{DA295641-F9C3-450F-989E-92ED5E076133}"/>
  </bookViews>
  <sheets>
    <sheet name="12 meses" sheetId="19" r:id="rId1"/>
    <sheet name="Março" sheetId="4" r:id="rId2"/>
    <sheet name="Abril" sheetId="5" r:id="rId3"/>
    <sheet name="Maio" sheetId="6" r:id="rId4"/>
    <sheet name="Junho" sheetId="7" r:id="rId5"/>
    <sheet name="Julho" sheetId="8" r:id="rId6"/>
    <sheet name="Agosto" sheetId="9" r:id="rId7"/>
    <sheet name="Setembro" sheetId="10" r:id="rId8"/>
    <sheet name="Outubro" sheetId="11" r:id="rId9"/>
    <sheet name="Novembro" sheetId="12" r:id="rId10"/>
    <sheet name="Dezembro" sheetId="13" r:id="rId11"/>
    <sheet name="Janeiro 25" sheetId="18" r:id="rId12"/>
    <sheet name="Fevereiro 25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F8" i="6" s="1"/>
  <c r="D8" i="5"/>
  <c r="AK9" i="19"/>
  <c r="AH9" i="19"/>
  <c r="AE9" i="19"/>
  <c r="AB9" i="19"/>
  <c r="Y9" i="19"/>
  <c r="P9" i="19"/>
  <c r="M9" i="19"/>
  <c r="J9" i="19"/>
  <c r="G9" i="19"/>
  <c r="D9" i="19"/>
  <c r="AB7" i="19"/>
  <c r="AH5" i="19"/>
  <c r="AB5" i="19"/>
  <c r="V5" i="19"/>
  <c r="S5" i="19"/>
  <c r="P5" i="19"/>
  <c r="M5" i="19"/>
  <c r="J5" i="19"/>
  <c r="G5" i="19"/>
  <c r="D5" i="19"/>
  <c r="AK4" i="19"/>
  <c r="AH4" i="19"/>
  <c r="AE4" i="19"/>
  <c r="AB4" i="19"/>
  <c r="Y4" i="19"/>
  <c r="V4" i="19"/>
  <c r="S4" i="19"/>
  <c r="G4" i="19"/>
  <c r="D4" i="19"/>
  <c r="D5" i="15" l="1"/>
  <c r="AK5" i="19" s="1"/>
  <c r="G8" i="19"/>
  <c r="J8" i="19"/>
  <c r="D8" i="4"/>
  <c r="D8" i="19" s="1"/>
  <c r="C17" i="15"/>
  <c r="C18" i="18"/>
  <c r="C15" i="18"/>
  <c r="C17" i="13"/>
  <c r="C19" i="13"/>
  <c r="F8" i="4" l="1"/>
  <c r="F8" i="5"/>
  <c r="C17" i="11"/>
  <c r="C25" i="18"/>
  <c r="D10" i="18" s="1"/>
  <c r="D12" i="18"/>
  <c r="D11" i="18"/>
  <c r="F9" i="18"/>
  <c r="E9" i="18"/>
  <c r="D8" i="18"/>
  <c r="D7" i="18"/>
  <c r="D5" i="13"/>
  <c r="C19" i="11"/>
  <c r="D12" i="12"/>
  <c r="D11" i="12"/>
  <c r="D8" i="12"/>
  <c r="C15" i="12"/>
  <c r="D5" i="11"/>
  <c r="D7" i="11" l="1"/>
  <c r="Y7" i="19" s="1"/>
  <c r="Y5" i="19"/>
  <c r="F11" i="18"/>
  <c r="AH11" i="19"/>
  <c r="AB8" i="19"/>
  <c r="AH7" i="19"/>
  <c r="F8" i="18"/>
  <c r="AH8" i="19"/>
  <c r="F12" i="18"/>
  <c r="AH12" i="19"/>
  <c r="H8" i="19"/>
  <c r="AB11" i="19"/>
  <c r="AE5" i="19"/>
  <c r="AJ9" i="19"/>
  <c r="F10" i="18"/>
  <c r="AH10" i="19"/>
  <c r="E8" i="19"/>
  <c r="AB12" i="19"/>
  <c r="AI9" i="19"/>
  <c r="E8" i="18"/>
  <c r="F7" i="18"/>
  <c r="E7" i="18"/>
  <c r="E11" i="18"/>
  <c r="E12" i="18"/>
  <c r="E10" i="18"/>
  <c r="D12" i="10"/>
  <c r="C28" i="9"/>
  <c r="C28" i="8"/>
  <c r="D12" i="8" s="1"/>
  <c r="D12" i="7"/>
  <c r="F12" i="7" s="1"/>
  <c r="E10" i="7"/>
  <c r="E9" i="7"/>
  <c r="F9" i="15"/>
  <c r="F9" i="13"/>
  <c r="F11" i="12"/>
  <c r="F9" i="12"/>
  <c r="F11" i="11"/>
  <c r="F9" i="11"/>
  <c r="F9" i="4"/>
  <c r="F9" i="5"/>
  <c r="F9" i="6"/>
  <c r="F9" i="7"/>
  <c r="F10" i="8"/>
  <c r="F9" i="8"/>
  <c r="F9" i="9"/>
  <c r="D9" i="10"/>
  <c r="F9" i="10"/>
  <c r="D8" i="10"/>
  <c r="C25" i="15"/>
  <c r="D10" i="15" s="1"/>
  <c r="C19" i="15"/>
  <c r="D12" i="15"/>
  <c r="D11" i="15"/>
  <c r="F11" i="15" s="1"/>
  <c r="E9" i="15"/>
  <c r="D8" i="15"/>
  <c r="F8" i="15" s="1"/>
  <c r="C25" i="13"/>
  <c r="D7" i="13"/>
  <c r="D12" i="13"/>
  <c r="D11" i="13"/>
  <c r="D10" i="13"/>
  <c r="D8" i="13"/>
  <c r="C25" i="12"/>
  <c r="D10" i="12" s="1"/>
  <c r="C19" i="12"/>
  <c r="F7" i="12"/>
  <c r="F12" i="12"/>
  <c r="E8" i="12"/>
  <c r="C25" i="11"/>
  <c r="D10" i="11" s="1"/>
  <c r="F10" i="11" s="1"/>
  <c r="F7" i="11"/>
  <c r="D12" i="11"/>
  <c r="D11" i="11"/>
  <c r="D8" i="11"/>
  <c r="C25" i="10"/>
  <c r="D10" i="10" s="1"/>
  <c r="C19" i="10"/>
  <c r="D7" i="10" s="1"/>
  <c r="D11" i="10"/>
  <c r="C25" i="9"/>
  <c r="D10" i="9" s="1"/>
  <c r="C19" i="9"/>
  <c r="D7" i="9" s="1"/>
  <c r="S7" i="19" s="1"/>
  <c r="D12" i="9"/>
  <c r="D11" i="9"/>
  <c r="S11" i="19" s="1"/>
  <c r="D8" i="9"/>
  <c r="S8" i="19" s="1"/>
  <c r="C25" i="8"/>
  <c r="C19" i="8"/>
  <c r="C17" i="8"/>
  <c r="D11" i="8"/>
  <c r="F11" i="8" s="1"/>
  <c r="D10" i="8"/>
  <c r="D8" i="8"/>
  <c r="C25" i="7"/>
  <c r="C19" i="7"/>
  <c r="D11" i="7"/>
  <c r="D10" i="7"/>
  <c r="D8" i="7"/>
  <c r="C25" i="6"/>
  <c r="D10" i="6" s="1"/>
  <c r="C19" i="6"/>
  <c r="D12" i="6"/>
  <c r="E8" i="6" s="1"/>
  <c r="D11" i="6"/>
  <c r="C25" i="5"/>
  <c r="D10" i="5" s="1"/>
  <c r="D12" i="5"/>
  <c r="D11" i="5"/>
  <c r="F11" i="5" s="1"/>
  <c r="C15" i="4"/>
  <c r="C19" i="4"/>
  <c r="C25" i="4"/>
  <c r="D10" i="4" s="1"/>
  <c r="D11" i="4"/>
  <c r="F11" i="4" s="1"/>
  <c r="D12" i="4"/>
  <c r="S10" i="19" l="1"/>
  <c r="F10" i="9"/>
  <c r="V10" i="19"/>
  <c r="AC12" i="19"/>
  <c r="D12" i="19"/>
  <c r="N12" i="19"/>
  <c r="F12" i="9"/>
  <c r="S12" i="19"/>
  <c r="Y8" i="19"/>
  <c r="AE10" i="19"/>
  <c r="Q11" i="19"/>
  <c r="Z11" i="19"/>
  <c r="AJ10" i="19"/>
  <c r="G10" i="19"/>
  <c r="F11" i="7"/>
  <c r="M11" i="19"/>
  <c r="P8" i="19"/>
  <c r="W9" i="19"/>
  <c r="J10" i="19"/>
  <c r="P10" i="19"/>
  <c r="Z7" i="19"/>
  <c r="F11" i="9"/>
  <c r="F10" i="6"/>
  <c r="AF9" i="19"/>
  <c r="O10" i="19"/>
  <c r="AI8" i="19"/>
  <c r="D11" i="19"/>
  <c r="G11" i="19"/>
  <c r="J11" i="19"/>
  <c r="M8" i="19"/>
  <c r="P11" i="19"/>
  <c r="V11" i="19"/>
  <c r="Y10" i="19"/>
  <c r="AE11" i="19"/>
  <c r="F8" i="9"/>
  <c r="F8" i="8"/>
  <c r="N9" i="19"/>
  <c r="F11" i="6"/>
  <c r="E9" i="19"/>
  <c r="F8" i="11"/>
  <c r="AC9" i="19"/>
  <c r="F10" i="13"/>
  <c r="F8" i="7"/>
  <c r="E11" i="7"/>
  <c r="AJ12" i="19"/>
  <c r="AJ8" i="19"/>
  <c r="AI12" i="19"/>
  <c r="F7" i="13"/>
  <c r="AE7" i="19"/>
  <c r="AC7" i="19"/>
  <c r="V9" i="19"/>
  <c r="AN9" i="19" s="1"/>
  <c r="H11" i="19"/>
  <c r="F12" i="4"/>
  <c r="F12" i="8"/>
  <c r="P12" i="19"/>
  <c r="AI7" i="19"/>
  <c r="D10" i="19"/>
  <c r="F12" i="5"/>
  <c r="G12" i="19"/>
  <c r="F12" i="6"/>
  <c r="J12" i="19"/>
  <c r="F10" i="7"/>
  <c r="M10" i="19"/>
  <c r="D7" i="8"/>
  <c r="Y11" i="19"/>
  <c r="AD8" i="19"/>
  <c r="AB10" i="19"/>
  <c r="F12" i="13"/>
  <c r="AE12" i="19"/>
  <c r="V8" i="19"/>
  <c r="T9" i="19"/>
  <c r="Q9" i="19"/>
  <c r="K8" i="19"/>
  <c r="H9" i="19"/>
  <c r="F10" i="4"/>
  <c r="Z9" i="19"/>
  <c r="F10" i="12"/>
  <c r="F11" i="13"/>
  <c r="E8" i="7"/>
  <c r="F12" i="10"/>
  <c r="V12" i="19"/>
  <c r="AJ11" i="19"/>
  <c r="AI10" i="19"/>
  <c r="F12" i="11"/>
  <c r="Y12" i="19"/>
  <c r="F8" i="13"/>
  <c r="AE8" i="19"/>
  <c r="Q10" i="19"/>
  <c r="K9" i="19"/>
  <c r="F10" i="5"/>
  <c r="E11" i="19"/>
  <c r="Z10" i="19"/>
  <c r="AC11" i="19"/>
  <c r="O9" i="19"/>
  <c r="M12" i="19"/>
  <c r="V7" i="19"/>
  <c r="AJ7" i="19"/>
  <c r="AI11" i="19"/>
  <c r="AL8" i="19"/>
  <c r="AL11" i="19"/>
  <c r="AM9" i="19"/>
  <c r="F12" i="15"/>
  <c r="AK12" i="19"/>
  <c r="F10" i="15"/>
  <c r="AK10" i="19"/>
  <c r="AK11" i="19"/>
  <c r="AK8" i="19"/>
  <c r="AL9" i="19"/>
  <c r="D7" i="7"/>
  <c r="D7" i="6"/>
  <c r="D7" i="5"/>
  <c r="C17" i="4"/>
  <c r="F8" i="12"/>
  <c r="E8" i="5"/>
  <c r="E12" i="7"/>
  <c r="F7" i="9"/>
  <c r="D7" i="15"/>
  <c r="AK7" i="19" s="1"/>
  <c r="E11" i="15"/>
  <c r="E12" i="15"/>
  <c r="E10" i="15"/>
  <c r="E8" i="15"/>
  <c r="AN8" i="19" l="1"/>
  <c r="AN10" i="19"/>
  <c r="AF11" i="19"/>
  <c r="E10" i="19"/>
  <c r="N10" i="19"/>
  <c r="AF10" i="19"/>
  <c r="E7" i="7"/>
  <c r="M7" i="19"/>
  <c r="AC10" i="19"/>
  <c r="Q12" i="19"/>
  <c r="Q8" i="19"/>
  <c r="K10" i="19"/>
  <c r="T12" i="19"/>
  <c r="O12" i="19"/>
  <c r="AF8" i="19"/>
  <c r="I8" i="19"/>
  <c r="F7" i="8"/>
  <c r="P7" i="19"/>
  <c r="AO9" i="19"/>
  <c r="AP9" i="19" s="1"/>
  <c r="W12" i="19"/>
  <c r="H12" i="19"/>
  <c r="O11" i="19"/>
  <c r="K11" i="19"/>
  <c r="T8" i="19"/>
  <c r="T11" i="19"/>
  <c r="T10" i="19"/>
  <c r="F7" i="5"/>
  <c r="G7" i="19"/>
  <c r="H10" i="19"/>
  <c r="AF12" i="19"/>
  <c r="AC8" i="19"/>
  <c r="AN11" i="19"/>
  <c r="E12" i="19"/>
  <c r="T7" i="19"/>
  <c r="D7" i="4"/>
  <c r="F7" i="4" s="1"/>
  <c r="E7" i="6"/>
  <c r="J7" i="19"/>
  <c r="AN12" i="19"/>
  <c r="Z12" i="19"/>
  <c r="O8" i="19"/>
  <c r="K12" i="19"/>
  <c r="AF7" i="19"/>
  <c r="N8" i="19"/>
  <c r="Z8" i="19"/>
  <c r="N11" i="19"/>
  <c r="AL10" i="19"/>
  <c r="AM10" i="19"/>
  <c r="AM11" i="19"/>
  <c r="AL12" i="19"/>
  <c r="AM8" i="19"/>
  <c r="AM12" i="19"/>
  <c r="F7" i="15"/>
  <c r="F7" i="7"/>
  <c r="F7" i="6"/>
  <c r="E7" i="15"/>
  <c r="AO12" i="19" l="1"/>
  <c r="AP12" i="19" s="1"/>
  <c r="E7" i="19"/>
  <c r="K7" i="19"/>
  <c r="L7" i="19"/>
  <c r="H7" i="19"/>
  <c r="D7" i="19"/>
  <c r="AN7" i="19" s="1"/>
  <c r="N7" i="19"/>
  <c r="Q7" i="19"/>
  <c r="O7" i="19"/>
  <c r="AM7" i="19"/>
  <c r="AL7" i="19"/>
  <c r="E8" i="4"/>
  <c r="E11" i="13"/>
  <c r="E10" i="13"/>
  <c r="E9" i="13"/>
  <c r="E7" i="13"/>
  <c r="E11" i="12"/>
  <c r="E10" i="12"/>
  <c r="E9" i="12"/>
  <c r="E7" i="12"/>
  <c r="E11" i="11"/>
  <c r="E10" i="11"/>
  <c r="E9" i="11"/>
  <c r="E7" i="11"/>
  <c r="F11" i="10"/>
  <c r="E11" i="10"/>
  <c r="F10" i="10"/>
  <c r="E10" i="10"/>
  <c r="E9" i="10"/>
  <c r="F8" i="10"/>
  <c r="E7" i="10"/>
  <c r="E11" i="9"/>
  <c r="E10" i="9"/>
  <c r="E9" i="9"/>
  <c r="E11" i="8"/>
  <c r="E10" i="8"/>
  <c r="E9" i="8"/>
  <c r="E11" i="6"/>
  <c r="E10" i="6"/>
  <c r="E9" i="6"/>
  <c r="E11" i="5"/>
  <c r="E10" i="5"/>
  <c r="E9" i="5"/>
  <c r="E12" i="4"/>
  <c r="E11" i="4"/>
  <c r="E10" i="4"/>
  <c r="E9" i="4"/>
  <c r="F10" i="19" l="1"/>
  <c r="L11" i="19"/>
  <c r="W8" i="19"/>
  <c r="AO8" i="19" s="1"/>
  <c r="AP8" i="19" s="1"/>
  <c r="AA10" i="19"/>
  <c r="AG10" i="19"/>
  <c r="R9" i="19"/>
  <c r="I10" i="19"/>
  <c r="U9" i="19"/>
  <c r="X11" i="19"/>
  <c r="AD10" i="19"/>
  <c r="F11" i="19"/>
  <c r="U10" i="19"/>
  <c r="W11" i="19"/>
  <c r="AO11" i="19" s="1"/>
  <c r="AP11" i="19" s="1"/>
  <c r="AD11" i="19"/>
  <c r="F12" i="19"/>
  <c r="R10" i="19"/>
  <c r="U11" i="19"/>
  <c r="X10" i="19"/>
  <c r="AA7" i="19"/>
  <c r="AD7" i="19"/>
  <c r="AG7" i="19"/>
  <c r="I11" i="19"/>
  <c r="X9" i="19"/>
  <c r="AA11" i="19"/>
  <c r="AG11" i="19"/>
  <c r="L9" i="19"/>
  <c r="F9" i="19"/>
  <c r="I9" i="19"/>
  <c r="L10" i="19"/>
  <c r="R11" i="19"/>
  <c r="X7" i="19"/>
  <c r="W10" i="19"/>
  <c r="AO10" i="19" s="1"/>
  <c r="AP10" i="19" s="1"/>
  <c r="AA9" i="19"/>
  <c r="AD9" i="19"/>
  <c r="AG9" i="19"/>
  <c r="F8" i="19"/>
  <c r="E7" i="5"/>
  <c r="E8" i="13"/>
  <c r="E12" i="13"/>
  <c r="E12" i="12"/>
  <c r="E8" i="11"/>
  <c r="E12" i="11"/>
  <c r="F7" i="10"/>
  <c r="E8" i="10"/>
  <c r="E12" i="10"/>
  <c r="E7" i="9"/>
  <c r="E8" i="9"/>
  <c r="E12" i="9"/>
  <c r="E7" i="8"/>
  <c r="E8" i="8"/>
  <c r="E12" i="8"/>
  <c r="E12" i="6"/>
  <c r="I7" i="19" l="1"/>
  <c r="L12" i="19"/>
  <c r="R7" i="19"/>
  <c r="AA8" i="19"/>
  <c r="AG12" i="19"/>
  <c r="X12" i="19"/>
  <c r="L8" i="19"/>
  <c r="U12" i="19"/>
  <c r="X8" i="19"/>
  <c r="AD12" i="19"/>
  <c r="R12" i="19"/>
  <c r="U8" i="19"/>
  <c r="W7" i="19"/>
  <c r="AO7" i="19" s="1"/>
  <c r="AP7" i="19" s="1"/>
  <c r="AP13" i="19" s="1"/>
  <c r="R8" i="19"/>
  <c r="U7" i="19"/>
  <c r="AA12" i="19"/>
  <c r="AG8" i="19"/>
  <c r="E7" i="4"/>
  <c r="E12" i="5"/>
  <c r="I12" i="19" l="1"/>
  <c r="F7" i="19"/>
</calcChain>
</file>

<file path=xl/sharedStrings.xml><?xml version="1.0" encoding="utf-8"?>
<sst xmlns="http://schemas.openxmlformats.org/spreadsheetml/2006/main" count="634" uniqueCount="65">
  <si>
    <t>INDICADORES DE QUALIDADE E DESEMPENHO DE ABASTECIMENTO DE ÁGUA E DE ESGOTAMENTO SANITÁRIO</t>
  </si>
  <si>
    <t>INDICADORES CONTRATO Nº040</t>
  </si>
  <si>
    <t>Nº Meses aferido</t>
  </si>
  <si>
    <t>IAQ</t>
  </si>
  <si>
    <t>IEPA</t>
  </si>
  <si>
    <t>Economias Ativas</t>
  </si>
  <si>
    <t xml:space="preserve"> Quantidade de Dias</t>
  </si>
  <si>
    <t>INDICADOR DE INCIDÊNCIA DE ANÁLISES DE QUALIDADE DE ÁGUA POTÁVEL DISTRIBUÍDA</t>
  </si>
  <si>
    <t>INDICADOR DE EXTRAVASAMENTO DE ESTAÇÕES ELEVATÓRIAS DE ESGOTO</t>
  </si>
  <si>
    <t>INDICADOR DE ROMPIMENTO DE COLETORES</t>
  </si>
  <si>
    <t>INDICADFOR DE EFICIENCIA NOS PRAZOS DE ATENDIMENTO</t>
  </si>
  <si>
    <t>INDICADOR DE ECONOMIAS ATINGIDAS POR PARALISAÇÕES  (Média)*</t>
  </si>
  <si>
    <t>INDICADOR DE QUALIDADE DE EFLUENTES FINAIS**</t>
  </si>
  <si>
    <t>Somatório Anual</t>
  </si>
  <si>
    <t>Nota 6 Meses</t>
  </si>
  <si>
    <t>Média 6 meses</t>
  </si>
  <si>
    <t>Classificação</t>
  </si>
  <si>
    <t>Nota</t>
  </si>
  <si>
    <t xml:space="preserve">INDICADOR DE ECONOMIAS ATINGIDAS POR PARALISAÇÕES  </t>
  </si>
  <si>
    <t>IEP *</t>
  </si>
  <si>
    <t>IDF**</t>
  </si>
  <si>
    <t>IDE***</t>
  </si>
  <si>
    <t>IDC****</t>
  </si>
  <si>
    <t>Dados para Avaliação dos indicadores de qualidade e desempenho</t>
  </si>
  <si>
    <t>Qc: quantidade de amostras totais coletadas para Análise de Qualidade da Água Potável</t>
  </si>
  <si>
    <t>Qcfp:</t>
  </si>
  <si>
    <t>Qcfp: quantidade de amostras coletadas para Análise de Qualidade de Água Potável resultados fora do padrão admitido na Portaria Consolidação nº 5 - MS, de 28/9/2017 Distribuída com</t>
  </si>
  <si>
    <t>Qc:</t>
  </si>
  <si>
    <t>IAQ= Qcfp/Qc</t>
  </si>
  <si>
    <t>IEP = (Σ(𝐸𝑃 ∗ 𝑇))/(QA*24*N)</t>
  </si>
  <si>
    <t>QA =</t>
  </si>
  <si>
    <t>Quantidade de economias ativas de água</t>
  </si>
  <si>
    <t>EP =</t>
  </si>
  <si>
    <t xml:space="preserve">T = </t>
  </si>
  <si>
    <t>Extra na formula até a ETA</t>
  </si>
  <si>
    <t>Tempo de duração das paralizações</t>
  </si>
  <si>
    <t>Quantidade de economias ativas atingidas por paralisações (maior que 3h)</t>
  </si>
  <si>
    <t>IDF=APLO/AETE</t>
  </si>
  <si>
    <t>APLO =</t>
  </si>
  <si>
    <t xml:space="preserve">AETE = </t>
  </si>
  <si>
    <t>Número de Amostras nas ETEs que atenderam 100% dos parâmetros definidos na licença de operação e na legislação ambiental</t>
  </si>
  <si>
    <t>Número de Amostras no Esgoto Tratado nas ETEs</t>
  </si>
  <si>
    <t>IDE=Σ (NDE/DM)</t>
  </si>
  <si>
    <t>NDE =</t>
  </si>
  <si>
    <t>DM=</t>
  </si>
  <si>
    <t>número de dias do mês em que houve extravasamento em Estações Elevatórias de Esgoto</t>
  </si>
  <si>
    <t>IDC=DC/ER</t>
  </si>
  <si>
    <t>DC=</t>
  </si>
  <si>
    <t>ER=</t>
  </si>
  <si>
    <t>Extensão do coletor entre PVs com rompimento informado pelo usuário de esgoto, por meio da estrutura de atendimento, ou identificados pela própria CONCESSIONÁRIA:</t>
  </si>
  <si>
    <t>Extensão da rede coletora em Km</t>
  </si>
  <si>
    <t>IEPA= SRPE/TRS</t>
  </si>
  <si>
    <t>SRPE =</t>
  </si>
  <si>
    <t xml:space="preserve">TRS= </t>
  </si>
  <si>
    <t>Número total de serviços solicitados pelos USUÁRIOS e realizados pela CONCESSIONÁRIA</t>
  </si>
  <si>
    <t>Número de serviços solicitados pelos USUÁRIOS e realizados pela CONCESSIONÁRIA no prazo especificado no REGULAMENTO DOS SERVIÇOS, nas NORMAS DE REGULAÇÃO ou no CONTRATO</t>
  </si>
  <si>
    <t>Número total de dias no mês</t>
  </si>
  <si>
    <t>N=</t>
  </si>
  <si>
    <t>número total de dias do mês considerado</t>
  </si>
  <si>
    <t xml:space="preserve">Economias abastecidas 24h = </t>
  </si>
  <si>
    <t>Data1</t>
  </si>
  <si>
    <t>INDICADOR DE EFICIENCIA NOS PRAZOS DE ATENDIMENTO</t>
  </si>
  <si>
    <t>INDICADOR DE EFICIÊNCIA NOS PRAZOS DE ATENDIMENTO</t>
  </si>
  <si>
    <t>17 a 20/01</t>
  </si>
  <si>
    <t>Classif.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</si>
</sst>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C9BAC"/>
        <bgColor indexed="64"/>
      </patternFill>
    </fill>
    <fill>
      <patternFill patternType="solid">
        <fgColor rgb="FFED75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17" fontId="1" fillId="3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7" fontId="1" fillId="3" borderId="0" xfId="0" applyNumberFormat="1" applyFont="1" applyFill="1" applyAlignment="1">
      <alignment horizontal="center" wrapText="1"/>
    </xf>
    <xf numFmtId="17" fontId="1" fillId="3" borderId="0" xfId="0" applyNumberFormat="1" applyFont="1" applyFill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2" fontId="0" fillId="0" borderId="7" xfId="0" applyNumberFormat="1" applyBorder="1"/>
    <xf numFmtId="1" fontId="0" fillId="0" borderId="9" xfId="0" applyNumberForma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0" fontId="3" fillId="4" borderId="17" xfId="0" applyFont="1" applyFill="1" applyBorder="1"/>
    <xf numFmtId="0" fontId="0" fillId="0" borderId="18" xfId="0" applyBorder="1"/>
    <xf numFmtId="0" fontId="0" fillId="0" borderId="19" xfId="0" applyBorder="1"/>
    <xf numFmtId="0" fontId="0" fillId="0" borderId="22" xfId="0" applyBorder="1" applyAlignment="1">
      <alignment horizontal="center"/>
    </xf>
    <xf numFmtId="0" fontId="0" fillId="5" borderId="12" xfId="0" applyFill="1" applyBorder="1"/>
    <xf numFmtId="0" fontId="0" fillId="5" borderId="0" xfId="0" applyFill="1"/>
    <xf numFmtId="0" fontId="0" fillId="5" borderId="20" xfId="0" applyFill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0" xfId="0" applyNumberFormat="1"/>
    <xf numFmtId="9" fontId="0" fillId="0" borderId="0" xfId="1" applyFont="1"/>
    <xf numFmtId="164" fontId="0" fillId="0" borderId="0" xfId="1" applyNumberFormat="1" applyFont="1"/>
    <xf numFmtId="0" fontId="0" fillId="0" borderId="23" xfId="0" applyBorder="1" applyAlignment="1">
      <alignment horizontal="right"/>
    </xf>
    <xf numFmtId="0" fontId="0" fillId="0" borderId="23" xfId="0" applyBorder="1" applyAlignment="1">
      <alignment horizontal="center"/>
    </xf>
    <xf numFmtId="1" fontId="0" fillId="0" borderId="1" xfId="0" applyNumberFormat="1" applyBorder="1"/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21" xfId="0" applyNumberFormat="1" applyBorder="1"/>
    <xf numFmtId="0" fontId="0" fillId="0" borderId="16" xfId="0" applyBorder="1" applyAlignment="1">
      <alignment horizontal="center"/>
    </xf>
    <xf numFmtId="0" fontId="0" fillId="0" borderId="25" xfId="0" applyBorder="1"/>
    <xf numFmtId="0" fontId="0" fillId="0" borderId="23" xfId="0" applyBorder="1"/>
    <xf numFmtId="2" fontId="0" fillId="0" borderId="2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5" fillId="0" borderId="0" xfId="0" applyFont="1"/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17" fontId="1" fillId="3" borderId="24" xfId="0" applyNumberFormat="1" applyFont="1" applyFill="1" applyBorder="1" applyAlignment="1">
      <alignment horizontal="center" wrapText="1"/>
    </xf>
    <xf numFmtId="17" fontId="1" fillId="3" borderId="24" xfId="0" applyNumberFormat="1" applyFont="1" applyFill="1" applyBorder="1" applyAlignment="1">
      <alignment horizontal="center"/>
    </xf>
    <xf numFmtId="0" fontId="0" fillId="0" borderId="0" xfId="0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ED7511"/>
      <color rgb="FF1C9BAC"/>
      <color rgb="FFFFF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28576</xdr:rowOff>
    </xdr:from>
    <xdr:to>
      <xdr:col>1</xdr:col>
      <xdr:colOff>2198032</xdr:colOff>
      <xdr:row>2</xdr:row>
      <xdr:rowOff>311151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9D34A8-1DDF-4C38-8392-90D1579DE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211456"/>
          <a:ext cx="1963082" cy="46863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12</xdr:row>
      <xdr:rowOff>161925</xdr:rowOff>
    </xdr:from>
    <xdr:to>
      <xdr:col>34</xdr:col>
      <xdr:colOff>274044</xdr:colOff>
      <xdr:row>16</xdr:row>
      <xdr:rowOff>48776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E73C44-11C1-4C86-B114-7745E99D2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6290" y="2920365"/>
          <a:ext cx="7177129" cy="636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76200</xdr:rowOff>
    </xdr:from>
    <xdr:to>
      <xdr:col>1</xdr:col>
      <xdr:colOff>2115482</xdr:colOff>
      <xdr:row>2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030EB2-D8FC-4FC4-9273-109F4A6AA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"/>
          <a:ext cx="1963082" cy="4286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1</xdr:col>
      <xdr:colOff>1762125</xdr:colOff>
      <xdr:row>2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5B00B5-C577-4EA1-A5CF-91AEE565E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4775"/>
          <a:ext cx="1609725" cy="390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1</xdr:col>
      <xdr:colOff>1762125</xdr:colOff>
      <xdr:row>2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C85DFE-C50E-4D19-8272-AAD3295CB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4775"/>
          <a:ext cx="1609725" cy="390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1</xdr:col>
      <xdr:colOff>2115482</xdr:colOff>
      <xdr:row>2</xdr:row>
      <xdr:rowOff>266700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3B6D56-AD9B-4C23-A8D7-89777860B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104775"/>
          <a:ext cx="1963082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1</xdr:col>
      <xdr:colOff>1943100</xdr:colOff>
      <xdr:row>2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8893DC-73CF-45F6-8167-8F872B620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180975"/>
          <a:ext cx="1781175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47625</xdr:rowOff>
    </xdr:from>
    <xdr:to>
      <xdr:col>1</xdr:col>
      <xdr:colOff>2102147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E96336-0392-4115-836F-D62F343AF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9835" y="238125"/>
          <a:ext cx="1961812" cy="561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95250</xdr:rowOff>
    </xdr:from>
    <xdr:to>
      <xdr:col>1</xdr:col>
      <xdr:colOff>2115482</xdr:colOff>
      <xdr:row>3</xdr:row>
      <xdr:rowOff>44450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EB350D-3C4F-4C7A-A3AB-34724608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5" y="285750"/>
          <a:ext cx="1963082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1</xdr:row>
      <xdr:rowOff>47626</xdr:rowOff>
    </xdr:from>
    <xdr:to>
      <xdr:col>1</xdr:col>
      <xdr:colOff>2146125</xdr:colOff>
      <xdr:row>2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28102F-43F1-40FD-B922-ED0898C6E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6" y="238126"/>
          <a:ext cx="1987374" cy="4476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47626</xdr:rowOff>
    </xdr:from>
    <xdr:to>
      <xdr:col>1</xdr:col>
      <xdr:colOff>2115482</xdr:colOff>
      <xdr:row>2</xdr:row>
      <xdr:rowOff>371476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A53CEF-0140-4729-9E45-22F52F21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38126"/>
          <a:ext cx="1963082" cy="514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123825</xdr:rowOff>
    </xdr:from>
    <xdr:to>
      <xdr:col>1</xdr:col>
      <xdr:colOff>1990725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9CC431-3B1B-46F6-8170-CF5D3C5D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314325"/>
          <a:ext cx="1866900" cy="447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104776</xdr:rowOff>
    </xdr:from>
    <xdr:to>
      <xdr:col>1</xdr:col>
      <xdr:colOff>2115482</xdr:colOff>
      <xdr:row>2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060707-D585-4FA9-BE9C-D99101460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104776"/>
          <a:ext cx="1963082" cy="4571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28576</xdr:rowOff>
    </xdr:from>
    <xdr:to>
      <xdr:col>1</xdr:col>
      <xdr:colOff>2115482</xdr:colOff>
      <xdr:row>2</xdr:row>
      <xdr:rowOff>276225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481FD2-C0E9-4B01-8662-1BA32A84F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5" y="219076"/>
          <a:ext cx="1963082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D551-5441-4DE0-9193-7815DD5105B6}">
  <dimension ref="A1:AP14"/>
  <sheetViews>
    <sheetView showGridLines="0" tabSelected="1" topLeftCell="B1" zoomScale="90" zoomScaleNormal="90" workbookViewId="0">
      <selection activeCell="B19" sqref="B19"/>
    </sheetView>
  </sheetViews>
  <sheetFormatPr defaultColWidth="8.77734375" defaultRowHeight="14.4" x14ac:dyDescent="0.3"/>
  <cols>
    <col min="2" max="2" width="57.77734375" customWidth="1"/>
    <col min="3" max="3" width="18.33203125" customWidth="1"/>
    <col min="4" max="4" width="5.6640625" customWidth="1"/>
    <col min="5" max="5" width="5.33203125" bestFit="1" customWidth="1"/>
    <col min="6" max="6" width="11.21875" hidden="1" customWidth="1"/>
    <col min="7" max="7" width="6.6640625" customWidth="1"/>
    <col min="8" max="8" width="7.44140625" customWidth="1"/>
    <col min="9" max="9" width="12.21875" hidden="1" customWidth="1"/>
    <col min="10" max="10" width="6.77734375" bestFit="1" customWidth="1"/>
    <col min="11" max="11" width="6.44140625" customWidth="1"/>
    <col min="12" max="12" width="13.21875" hidden="1" customWidth="1"/>
    <col min="13" max="13" width="6.33203125" customWidth="1"/>
    <col min="14" max="14" width="7.21875" customWidth="1"/>
    <col min="15" max="15" width="10.6640625" hidden="1" customWidth="1"/>
    <col min="16" max="16" width="6.21875" customWidth="1"/>
    <col min="17" max="17" width="6.44140625" customWidth="1"/>
    <col min="18" max="18" width="10.21875" hidden="1" customWidth="1"/>
    <col min="19" max="19" width="6.21875" customWidth="1"/>
    <col min="20" max="20" width="6.44140625" customWidth="1"/>
    <col min="21" max="21" width="10.6640625" hidden="1" customWidth="1"/>
    <col min="22" max="22" width="6.77734375" bestFit="1" customWidth="1"/>
    <col min="23" max="23" width="6.44140625" customWidth="1"/>
    <col min="24" max="24" width="10.6640625" hidden="1" customWidth="1"/>
    <col min="25" max="25" width="6.77734375" customWidth="1"/>
    <col min="26" max="26" width="7.33203125" customWidth="1"/>
    <col min="27" max="27" width="11" hidden="1" customWidth="1"/>
    <col min="28" max="28" width="6.77734375" bestFit="1" customWidth="1"/>
    <col min="29" max="29" width="7.21875" customWidth="1"/>
    <col min="30" max="30" width="10.21875" hidden="1" customWidth="1"/>
    <col min="31" max="31" width="7.33203125" customWidth="1"/>
    <col min="32" max="32" width="6.77734375" customWidth="1"/>
    <col min="33" max="33" width="10.21875" hidden="1" customWidth="1"/>
    <col min="34" max="34" width="8.21875" customWidth="1"/>
    <col min="35" max="35" width="8" customWidth="1"/>
    <col min="36" max="36" width="10.21875" hidden="1" customWidth="1"/>
    <col min="37" max="37" width="6.6640625" customWidth="1"/>
    <col min="38" max="38" width="7" customWidth="1"/>
    <col min="39" max="39" width="11.21875" hidden="1" customWidth="1"/>
    <col min="40" max="40" width="8.77734375" customWidth="1"/>
    <col min="41" max="41" width="10.44140625" customWidth="1"/>
    <col min="42" max="42" width="13.44140625" customWidth="1"/>
  </cols>
  <sheetData>
    <row r="1" spans="1:42" x14ac:dyDescent="0.3">
      <c r="B1" s="70"/>
      <c r="D1" s="2" t="s">
        <v>0</v>
      </c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B2" s="7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30" customHeight="1" x14ac:dyDescent="0.3">
      <c r="B3" s="70"/>
      <c r="D3" s="68">
        <v>45352</v>
      </c>
      <c r="E3" s="68"/>
      <c r="F3" s="68"/>
      <c r="G3" s="68">
        <v>45383</v>
      </c>
      <c r="H3" s="68"/>
      <c r="I3" s="68"/>
      <c r="J3" s="68">
        <v>45413</v>
      </c>
      <c r="K3" s="68"/>
      <c r="L3" s="68"/>
      <c r="M3" s="68">
        <v>45444</v>
      </c>
      <c r="N3" s="68"/>
      <c r="O3" s="68"/>
      <c r="P3" s="69">
        <v>45474</v>
      </c>
      <c r="Q3" s="69"/>
      <c r="R3" s="69"/>
      <c r="S3" s="68">
        <v>45505</v>
      </c>
      <c r="T3" s="68"/>
      <c r="U3" s="68"/>
      <c r="V3" s="68">
        <v>45536</v>
      </c>
      <c r="W3" s="68"/>
      <c r="X3" s="68"/>
      <c r="Y3" s="69">
        <v>45566</v>
      </c>
      <c r="Z3" s="69"/>
      <c r="AA3" s="69"/>
      <c r="AB3" s="69">
        <v>45597</v>
      </c>
      <c r="AC3" s="69"/>
      <c r="AD3" s="69"/>
      <c r="AE3" s="69">
        <v>45627</v>
      </c>
      <c r="AF3" s="69"/>
      <c r="AG3" s="69"/>
      <c r="AH3" s="68">
        <v>45658</v>
      </c>
      <c r="AI3" s="68"/>
      <c r="AJ3" s="13"/>
      <c r="AK3" s="68">
        <v>45689</v>
      </c>
      <c r="AL3" s="68"/>
      <c r="AM3" s="13"/>
      <c r="AN3" s="14" t="s">
        <v>15</v>
      </c>
      <c r="AO3" s="13" t="s">
        <v>14</v>
      </c>
      <c r="AP3" s="13" t="s">
        <v>13</v>
      </c>
    </row>
    <row r="4" spans="1:42" x14ac:dyDescent="0.3">
      <c r="B4" s="70"/>
      <c r="C4" s="7" t="s">
        <v>6</v>
      </c>
      <c r="D4" s="62">
        <f>Março!D4</f>
        <v>31</v>
      </c>
      <c r="E4" s="63"/>
      <c r="F4" s="64"/>
      <c r="G4" s="59">
        <f>Abril!D4</f>
        <v>30</v>
      </c>
      <c r="H4" s="60"/>
      <c r="I4" s="61"/>
      <c r="J4" s="59">
        <v>30</v>
      </c>
      <c r="K4" s="60"/>
      <c r="L4" s="61"/>
      <c r="M4" s="59">
        <v>31</v>
      </c>
      <c r="N4" s="60"/>
      <c r="O4" s="61"/>
      <c r="P4" s="59">
        <v>30</v>
      </c>
      <c r="Q4" s="60"/>
      <c r="R4" s="61"/>
      <c r="S4" s="59">
        <f>Agosto!D4</f>
        <v>31</v>
      </c>
      <c r="T4" s="60"/>
      <c r="U4" s="61"/>
      <c r="V4" s="62">
        <f>Setembro!D4</f>
        <v>30</v>
      </c>
      <c r="W4" s="63"/>
      <c r="X4" s="64"/>
      <c r="Y4" s="59">
        <f>Outubro!D4</f>
        <v>31</v>
      </c>
      <c r="Z4" s="60"/>
      <c r="AA4" s="61"/>
      <c r="AB4" s="59">
        <f>Novembro!D4</f>
        <v>30</v>
      </c>
      <c r="AC4" s="60"/>
      <c r="AD4" s="61"/>
      <c r="AE4" s="59">
        <f>Dezembro!D4</f>
        <v>31</v>
      </c>
      <c r="AF4" s="60"/>
      <c r="AG4" s="61"/>
      <c r="AH4" s="59">
        <f>'Janeiro 25'!D4</f>
        <v>31</v>
      </c>
      <c r="AI4" s="60"/>
      <c r="AJ4" s="61"/>
      <c r="AK4" s="62">
        <f>'Fevereiro 25'!D4</f>
        <v>28</v>
      </c>
      <c r="AL4" s="63"/>
      <c r="AM4" s="64"/>
      <c r="AN4" s="8"/>
      <c r="AO4" s="8"/>
      <c r="AP4" s="8"/>
    </row>
    <row r="5" spans="1:42" x14ac:dyDescent="0.3">
      <c r="C5" s="7" t="s">
        <v>5</v>
      </c>
      <c r="D5" s="62">
        <f>Março!D5</f>
        <v>523</v>
      </c>
      <c r="E5" s="63"/>
      <c r="F5" s="64"/>
      <c r="G5" s="59">
        <f>Abril!D5</f>
        <v>536</v>
      </c>
      <c r="H5" s="60"/>
      <c r="I5" s="61"/>
      <c r="J5" s="59">
        <f>Maio!D5</f>
        <v>579</v>
      </c>
      <c r="K5" s="60"/>
      <c r="L5" s="61"/>
      <c r="M5" s="59">
        <f>Junho!D5</f>
        <v>581</v>
      </c>
      <c r="N5" s="60"/>
      <c r="O5" s="61"/>
      <c r="P5" s="59">
        <f>Julho!D5</f>
        <v>582</v>
      </c>
      <c r="Q5" s="60"/>
      <c r="R5" s="61"/>
      <c r="S5" s="65">
        <f>Agosto!D5</f>
        <v>635</v>
      </c>
      <c r="T5" s="66"/>
      <c r="U5" s="67"/>
      <c r="V5" s="65">
        <f>Setembro!D5</f>
        <v>717</v>
      </c>
      <c r="W5" s="66"/>
      <c r="X5" s="67"/>
      <c r="Y5" s="59">
        <f>Outubro!D5</f>
        <v>733</v>
      </c>
      <c r="Z5" s="60"/>
      <c r="AA5" s="61"/>
      <c r="AB5" s="59">
        <f>Novembro!D5</f>
        <v>759</v>
      </c>
      <c r="AC5" s="60"/>
      <c r="AD5" s="61"/>
      <c r="AE5" s="59">
        <f>Dezembro!D5</f>
        <v>778</v>
      </c>
      <c r="AF5" s="60"/>
      <c r="AG5" s="61"/>
      <c r="AH5" s="59">
        <f>'Janeiro 25'!D5</f>
        <v>800</v>
      </c>
      <c r="AI5" s="60"/>
      <c r="AJ5" s="61"/>
      <c r="AK5" s="59">
        <f>'Fevereiro 25'!D5</f>
        <v>806</v>
      </c>
      <c r="AL5" s="60"/>
      <c r="AM5" s="61"/>
      <c r="AN5" s="8"/>
      <c r="AO5" s="9"/>
      <c r="AP5" s="9"/>
    </row>
    <row r="6" spans="1:42" x14ac:dyDescent="0.3">
      <c r="A6" s="8"/>
      <c r="B6" s="10" t="s">
        <v>1</v>
      </c>
      <c r="C6" s="5" t="s">
        <v>2</v>
      </c>
      <c r="D6" s="55"/>
      <c r="E6" s="8" t="s">
        <v>17</v>
      </c>
      <c r="F6" s="8" t="s">
        <v>64</v>
      </c>
      <c r="G6" s="55"/>
      <c r="H6" s="8" t="s">
        <v>17</v>
      </c>
      <c r="I6" s="8" t="s">
        <v>64</v>
      </c>
      <c r="J6" s="55"/>
      <c r="K6" s="8" t="s">
        <v>17</v>
      </c>
      <c r="L6" s="8" t="s">
        <v>64</v>
      </c>
      <c r="M6" s="55"/>
      <c r="N6" s="8" t="s">
        <v>17</v>
      </c>
      <c r="O6" s="8" t="s">
        <v>64</v>
      </c>
      <c r="P6" s="55"/>
      <c r="Q6" s="8" t="s">
        <v>17</v>
      </c>
      <c r="R6" s="8" t="s">
        <v>64</v>
      </c>
      <c r="S6" s="55"/>
      <c r="T6" s="8" t="s">
        <v>17</v>
      </c>
      <c r="U6" s="8" t="s">
        <v>64</v>
      </c>
      <c r="V6" s="55"/>
      <c r="W6" s="8" t="s">
        <v>17</v>
      </c>
      <c r="X6" s="8" t="s">
        <v>64</v>
      </c>
      <c r="Y6" s="55"/>
      <c r="Z6" s="8" t="s">
        <v>17</v>
      </c>
      <c r="AA6" s="8" t="s">
        <v>64</v>
      </c>
      <c r="AB6" s="55"/>
      <c r="AC6" s="8" t="s">
        <v>17</v>
      </c>
      <c r="AD6" s="8" t="s">
        <v>64</v>
      </c>
      <c r="AE6" s="55"/>
      <c r="AF6" s="8" t="s">
        <v>17</v>
      </c>
      <c r="AG6" s="8" t="s">
        <v>64</v>
      </c>
      <c r="AH6" s="55"/>
      <c r="AI6" s="8" t="s">
        <v>17</v>
      </c>
      <c r="AJ6" s="8" t="s">
        <v>64</v>
      </c>
      <c r="AK6" s="55"/>
      <c r="AL6" s="8" t="s">
        <v>17</v>
      </c>
      <c r="AM6" s="8" t="s">
        <v>64</v>
      </c>
      <c r="AN6" s="8"/>
      <c r="AO6" s="8"/>
      <c r="AP6" s="8"/>
    </row>
    <row r="7" spans="1:42" ht="28.8" x14ac:dyDescent="0.3">
      <c r="A7" s="8" t="s">
        <v>19</v>
      </c>
      <c r="B7" s="12" t="s">
        <v>11</v>
      </c>
      <c r="C7" s="16">
        <v>12</v>
      </c>
      <c r="D7" s="56">
        <f>Março!$D$7</f>
        <v>0.61663479923518161</v>
      </c>
      <c r="E7" s="42" t="str">
        <f>Março!F7</f>
        <v>7,5</v>
      </c>
      <c r="F7" s="42" t="str">
        <f>Março!E7</f>
        <v>Suficiente</v>
      </c>
      <c r="G7" s="56">
        <f>Abril!D7</f>
        <v>0.23258706467661691</v>
      </c>
      <c r="H7" s="42" t="str">
        <f>Abril!F7</f>
        <v>7,5</v>
      </c>
      <c r="I7" s="42" t="str">
        <f>Abril!E7</f>
        <v>Suficiente</v>
      </c>
      <c r="J7" s="42">
        <f>Maio!D7</f>
        <v>0.10780944156591825</v>
      </c>
      <c r="K7" s="42" t="str">
        <f>Maio!F7</f>
        <v>7,5</v>
      </c>
      <c r="L7" s="42" t="str">
        <f>Maio!E7</f>
        <v>Suficiente</v>
      </c>
      <c r="M7" s="42">
        <f>Junho!D7</f>
        <v>0.32697217441193344</v>
      </c>
      <c r="N7" s="42" t="str">
        <f>Junho!F7</f>
        <v>7,5</v>
      </c>
      <c r="O7" s="42" t="str">
        <f>Junho!E7</f>
        <v>Suficiente</v>
      </c>
      <c r="P7" s="42">
        <f>Julho!D7</f>
        <v>0.4061426116838488</v>
      </c>
      <c r="Q7" s="42" t="str">
        <f>Julho!F7</f>
        <v>7,5</v>
      </c>
      <c r="R7" s="42" t="str">
        <f>Julho!E7</f>
        <v>Suficiente</v>
      </c>
      <c r="S7" s="42">
        <f>Agosto!D7</f>
        <v>0.18910761154855643</v>
      </c>
      <c r="T7" s="42" t="str">
        <f>Agosto!F7</f>
        <v>7,5</v>
      </c>
      <c r="U7" s="42" t="str">
        <f>Agosto!E7</f>
        <v>Suficiente</v>
      </c>
      <c r="V7" s="42">
        <f>Setembro!D7</f>
        <v>0.18026499302649931</v>
      </c>
      <c r="W7" s="42" t="str">
        <f>Setembro!F7</f>
        <v>7,5</v>
      </c>
      <c r="X7" s="42" t="str">
        <f>Setembro!E7</f>
        <v>Suficiente</v>
      </c>
      <c r="Y7" s="42">
        <f>Outubro!D7</f>
        <v>0.7172010004547521</v>
      </c>
      <c r="Z7" s="42" t="str">
        <f>Outubro!F7</f>
        <v>7,5</v>
      </c>
      <c r="AA7" s="42" t="str">
        <f>Outubro!E7</f>
        <v>Suficiente</v>
      </c>
      <c r="AB7" s="42">
        <f>Novembro!D7</f>
        <v>0.8</v>
      </c>
      <c r="AC7" s="42" t="str">
        <f>Novembro!F7</f>
        <v>7,5</v>
      </c>
      <c r="AD7" s="42" t="str">
        <f>Novembro!E7</f>
        <v>Suficiente</v>
      </c>
      <c r="AE7" s="42">
        <f>Dezembro!D7</f>
        <v>0.33247643530419879</v>
      </c>
      <c r="AF7" s="42" t="str">
        <f>Dezembro!F7</f>
        <v>7,5</v>
      </c>
      <c r="AG7" s="42" t="str">
        <f>Dezembro!E7</f>
        <v>Suficiente</v>
      </c>
      <c r="AH7" s="42">
        <f>'Janeiro 25'!D7</f>
        <v>0.31166666666666665</v>
      </c>
      <c r="AI7" s="42" t="str">
        <f>'Janeiro 25'!F7</f>
        <v>7,5</v>
      </c>
      <c r="AJ7" s="42" t="str">
        <f>'Janeiro 25'!E7</f>
        <v>Suficiente</v>
      </c>
      <c r="AK7" s="42">
        <f>'Fevereiro 25'!D7</f>
        <v>0.3917235318444996</v>
      </c>
      <c r="AL7" s="42" t="str">
        <f>'Fevereiro 25'!F7</f>
        <v>7,5</v>
      </c>
      <c r="AM7" s="42" t="str">
        <f>'Fevereiro 25'!E7</f>
        <v>Suficiente</v>
      </c>
      <c r="AN7" s="42">
        <f>(D7+G7+J7+M7+P7+S7+V7+Y7+AB7+AE7+AH7+AK7)/12</f>
        <v>0.38438219420155595</v>
      </c>
      <c r="AO7" s="15">
        <f t="shared" ref="AO7:AO12" si="0">(E7+H7+K7+N7+Q7+T7+W7+Z7+AC7+AF7+AI7+AL7)</f>
        <v>90</v>
      </c>
      <c r="AP7" s="8">
        <f>0.3*(AO7/(20*C7))</f>
        <v>0.11249999999999999</v>
      </c>
    </row>
    <row r="8" spans="1:42" ht="28.8" x14ac:dyDescent="0.3">
      <c r="A8" s="8" t="s">
        <v>3</v>
      </c>
      <c r="B8" s="12" t="s">
        <v>7</v>
      </c>
      <c r="C8" s="16">
        <v>12</v>
      </c>
      <c r="D8" s="48">
        <f>Março!D8</f>
        <v>0</v>
      </c>
      <c r="E8" s="42" t="str">
        <f>Março!F8</f>
        <v>10</v>
      </c>
      <c r="F8" s="16" t="str">
        <f>Março!E8</f>
        <v>Adequado</v>
      </c>
      <c r="G8" s="56">
        <f>Abril!D8</f>
        <v>0</v>
      </c>
      <c r="H8" s="42" t="str">
        <f>Abril!F8</f>
        <v>10</v>
      </c>
      <c r="I8" s="42" t="str">
        <f>Abril!E8</f>
        <v>Adequado</v>
      </c>
      <c r="J8" s="42">
        <f>Maio!D8</f>
        <v>0</v>
      </c>
      <c r="K8" s="42" t="str">
        <f>Maio!F8</f>
        <v>10</v>
      </c>
      <c r="L8" s="42" t="str">
        <f>Maio!E8</f>
        <v>Adequado</v>
      </c>
      <c r="M8" s="42">
        <f>Junho!D8</f>
        <v>0</v>
      </c>
      <c r="N8" s="42" t="str">
        <f>Junho!F8</f>
        <v>10</v>
      </c>
      <c r="O8" s="42" t="str">
        <f>Junho!E8</f>
        <v>Adequado</v>
      </c>
      <c r="P8" s="42">
        <f>Julho!D8</f>
        <v>0</v>
      </c>
      <c r="Q8" s="42" t="str">
        <f>Julho!F8</f>
        <v>10</v>
      </c>
      <c r="R8" s="42" t="str">
        <f>Julho!E8</f>
        <v>Adequado</v>
      </c>
      <c r="S8" s="16">
        <f>Agosto!D8</f>
        <v>0</v>
      </c>
      <c r="T8" s="42" t="str">
        <f>Agosto!F8</f>
        <v>10</v>
      </c>
      <c r="U8" s="42" t="str">
        <f>Agosto!E8</f>
        <v>Adequado</v>
      </c>
      <c r="V8" s="42">
        <f>Setembro!D8</f>
        <v>1</v>
      </c>
      <c r="W8" s="42" t="str">
        <f>Setembro!F8</f>
        <v>7,5</v>
      </c>
      <c r="X8" s="42" t="str">
        <f>Setembro!E8</f>
        <v>Suficiente</v>
      </c>
      <c r="Y8" s="42">
        <f>Outubro!D8</f>
        <v>0</v>
      </c>
      <c r="Z8" s="42" t="str">
        <f>Outubro!F8</f>
        <v>10</v>
      </c>
      <c r="AA8" s="42" t="str">
        <f>Outubro!E8</f>
        <v>Adequado</v>
      </c>
      <c r="AB8" s="42">
        <f>Novembro!D8</f>
        <v>0</v>
      </c>
      <c r="AC8" s="42" t="str">
        <f>Novembro!F8</f>
        <v>10</v>
      </c>
      <c r="AD8" s="42" t="str">
        <f>Novembro!E8</f>
        <v>Adequado</v>
      </c>
      <c r="AE8" s="42">
        <f>Dezembro!D8</f>
        <v>0</v>
      </c>
      <c r="AF8" s="42" t="str">
        <f>Dezembro!F8</f>
        <v>10</v>
      </c>
      <c r="AG8" s="42" t="str">
        <f>Dezembro!E8</f>
        <v>Adequado</v>
      </c>
      <c r="AH8" s="42">
        <f>'Janeiro 25'!D8</f>
        <v>0</v>
      </c>
      <c r="AI8" s="42" t="str">
        <f>'Janeiro 25'!F8</f>
        <v>10</v>
      </c>
      <c r="AJ8" s="42" t="str">
        <f>'Janeiro 25'!E8</f>
        <v>Adequado</v>
      </c>
      <c r="AK8" s="42">
        <f>'Fevereiro 25'!D8</f>
        <v>0</v>
      </c>
      <c r="AL8" s="42" t="str">
        <f>'Fevereiro 25'!F8</f>
        <v>10</v>
      </c>
      <c r="AM8" s="42" t="str">
        <f>'Fevereiro 25'!E8</f>
        <v>Adequado</v>
      </c>
      <c r="AN8" s="42">
        <f t="shared" ref="AN8:AN12" si="1">(D8+G8+J8+M8+P8+S8+V8+Y8+AB8+AE8+AH8+AK8)/12</f>
        <v>8.3333333333333329E-2</v>
      </c>
      <c r="AO8" s="15">
        <f>(E8+H8+K8+N8+Q8+T8+W8+Z8+AC8+AF8+AI8+AL8)</f>
        <v>117.5</v>
      </c>
      <c r="AP8" s="8">
        <f>0.675*(AO8/(20*C8))</f>
        <v>0.33046875000000003</v>
      </c>
    </row>
    <row r="9" spans="1:42" x14ac:dyDescent="0.3">
      <c r="A9" s="8" t="s">
        <v>20</v>
      </c>
      <c r="B9" s="8" t="s">
        <v>12</v>
      </c>
      <c r="C9" s="16">
        <v>12</v>
      </c>
      <c r="D9" s="48">
        <f>Março!D9</f>
        <v>0</v>
      </c>
      <c r="E9" s="42" t="str">
        <f>Março!F9</f>
        <v>7,5</v>
      </c>
      <c r="F9" s="16" t="str">
        <f>Março!E9</f>
        <v>Suficiente</v>
      </c>
      <c r="G9" s="56">
        <f>Abril!D9</f>
        <v>0</v>
      </c>
      <c r="H9" s="42" t="str">
        <f>Abril!F9</f>
        <v>7,5</v>
      </c>
      <c r="I9" s="42" t="str">
        <f>Abril!E9</f>
        <v>Suficiente</v>
      </c>
      <c r="J9" s="42">
        <f>Maio!D9</f>
        <v>0</v>
      </c>
      <c r="K9" s="42" t="str">
        <f>Maio!F9</f>
        <v>7,5</v>
      </c>
      <c r="L9" s="42" t="str">
        <f>Maio!E9</f>
        <v>Suficiente</v>
      </c>
      <c r="M9" s="42">
        <f>Junho!D9</f>
        <v>0</v>
      </c>
      <c r="N9" s="42" t="str">
        <f>Junho!F9</f>
        <v>7,5</v>
      </c>
      <c r="O9" s="42" t="str">
        <f>Junho!E9</f>
        <v>Suficiente</v>
      </c>
      <c r="P9" s="42">
        <f>Julho!D9</f>
        <v>0</v>
      </c>
      <c r="Q9" s="42" t="str">
        <f>Julho!F9</f>
        <v>7,5</v>
      </c>
      <c r="R9" s="42" t="str">
        <f>Julho!E9</f>
        <v>Suficiente</v>
      </c>
      <c r="S9" s="16"/>
      <c r="T9" s="42" t="str">
        <f>Agosto!F9</f>
        <v>7,5</v>
      </c>
      <c r="U9" s="42" t="str">
        <f>Agosto!E9</f>
        <v>Suficiente</v>
      </c>
      <c r="V9" s="42">
        <f>Setembro!D9</f>
        <v>100</v>
      </c>
      <c r="W9" s="42" t="str">
        <f>Setembro!F9</f>
        <v>10</v>
      </c>
      <c r="X9" s="42" t="str">
        <f>Setembro!E9</f>
        <v>Adequado</v>
      </c>
      <c r="Y9" s="42">
        <f>Outubro!D9</f>
        <v>0</v>
      </c>
      <c r="Z9" s="42" t="str">
        <f>Outubro!F9</f>
        <v>7,5</v>
      </c>
      <c r="AA9" s="42" t="str">
        <f>Outubro!E9</f>
        <v>Suficiente</v>
      </c>
      <c r="AB9" s="42">
        <f>Novembro!D9</f>
        <v>0</v>
      </c>
      <c r="AC9" s="42" t="str">
        <f>Novembro!F9</f>
        <v>7,5</v>
      </c>
      <c r="AD9" s="42" t="str">
        <f>Novembro!E9</f>
        <v>Suficiente</v>
      </c>
      <c r="AE9" s="42">
        <f>Dezembro!D9</f>
        <v>0</v>
      </c>
      <c r="AF9" s="42" t="str">
        <f>Dezembro!F9</f>
        <v>7,5</v>
      </c>
      <c r="AG9" s="42" t="str">
        <f>Dezembro!E9</f>
        <v>Suficiente</v>
      </c>
      <c r="AH9" s="42">
        <f>'Janeiro 25'!D9</f>
        <v>0</v>
      </c>
      <c r="AI9" s="42" t="str">
        <f>'Janeiro 25'!F9</f>
        <v>7,5</v>
      </c>
      <c r="AJ9" s="42" t="str">
        <f>'Janeiro 25'!E9</f>
        <v>Suficiente</v>
      </c>
      <c r="AK9" s="42">
        <f>'Fevereiro 25'!D9</f>
        <v>0</v>
      </c>
      <c r="AL9" s="42" t="str">
        <f>'Fevereiro 25'!F9</f>
        <v>7,5</v>
      </c>
      <c r="AM9" s="42" t="str">
        <f>'Fevereiro 25'!E9</f>
        <v>Suficiente</v>
      </c>
      <c r="AN9" s="42">
        <f t="shared" si="1"/>
        <v>8.3333333333333339</v>
      </c>
      <c r="AO9" s="15">
        <f t="shared" si="0"/>
        <v>92.5</v>
      </c>
      <c r="AP9" s="8">
        <f>0.3*(AO9/(20*C9))</f>
        <v>0.11562500000000001</v>
      </c>
    </row>
    <row r="10" spans="1:42" x14ac:dyDescent="0.3">
      <c r="A10" s="8" t="s">
        <v>21</v>
      </c>
      <c r="B10" s="8" t="s">
        <v>8</v>
      </c>
      <c r="C10" s="16">
        <v>12</v>
      </c>
      <c r="D10" s="48">
        <f>Março!$D$10</f>
        <v>0</v>
      </c>
      <c r="E10" s="42" t="str">
        <f>Março!F10</f>
        <v>10</v>
      </c>
      <c r="F10" s="16" t="str">
        <f>Março!E10</f>
        <v>Adequado</v>
      </c>
      <c r="G10" s="56">
        <f>Abril!D10</f>
        <v>0</v>
      </c>
      <c r="H10" s="42" t="str">
        <f>Abril!F10</f>
        <v>10</v>
      </c>
      <c r="I10" s="42" t="str">
        <f>Abril!E10</f>
        <v>Adequado</v>
      </c>
      <c r="J10" s="42">
        <f>Maio!D10</f>
        <v>0</v>
      </c>
      <c r="K10" s="42" t="str">
        <f>Maio!F10</f>
        <v>10</v>
      </c>
      <c r="L10" s="42" t="str">
        <f>Maio!E10</f>
        <v>Adequado</v>
      </c>
      <c r="M10" s="42">
        <f>Junho!D10</f>
        <v>0</v>
      </c>
      <c r="N10" s="42" t="str">
        <f>Junho!F10</f>
        <v>10</v>
      </c>
      <c r="O10" s="42" t="str">
        <f>Junho!E10</f>
        <v>Adequado</v>
      </c>
      <c r="P10" s="42">
        <f>Julho!D10</f>
        <v>0</v>
      </c>
      <c r="Q10" s="42" t="str">
        <f>Julho!F10</f>
        <v>10</v>
      </c>
      <c r="R10" s="42" t="str">
        <f>Julho!E10</f>
        <v>Adequado</v>
      </c>
      <c r="S10" s="16">
        <f>Agosto!D10</f>
        <v>0</v>
      </c>
      <c r="T10" s="42" t="str">
        <f>Agosto!F10</f>
        <v>10</v>
      </c>
      <c r="U10" s="42" t="str">
        <f>Agosto!E10</f>
        <v>Adequado</v>
      </c>
      <c r="V10" s="42">
        <f>Setembro!D10</f>
        <v>0</v>
      </c>
      <c r="W10" s="42" t="str">
        <f>Setembro!F10</f>
        <v>10</v>
      </c>
      <c r="X10" s="42" t="str">
        <f>Setembro!E10</f>
        <v>Adequado</v>
      </c>
      <c r="Y10" s="42">
        <f>Outubro!D10</f>
        <v>0</v>
      </c>
      <c r="Z10" s="42" t="str">
        <f>Outubro!F10</f>
        <v>10</v>
      </c>
      <c r="AA10" s="42" t="str">
        <f>Outubro!E10</f>
        <v>Adequado</v>
      </c>
      <c r="AB10" s="42">
        <f>Novembro!D10</f>
        <v>0</v>
      </c>
      <c r="AC10" s="42" t="str">
        <f>Novembro!F10</f>
        <v>10</v>
      </c>
      <c r="AD10" s="42" t="str">
        <f>Novembro!E10</f>
        <v>Adequado</v>
      </c>
      <c r="AE10" s="42">
        <f>Dezembro!D10</f>
        <v>0</v>
      </c>
      <c r="AF10" s="42" t="str">
        <f>Dezembro!F10</f>
        <v>10</v>
      </c>
      <c r="AG10" s="42" t="str">
        <f>Dezembro!E10</f>
        <v>Adequado</v>
      </c>
      <c r="AH10" s="42">
        <f>'Janeiro 25'!D10</f>
        <v>0</v>
      </c>
      <c r="AI10" s="42" t="str">
        <f>'Janeiro 25'!F10</f>
        <v>10</v>
      </c>
      <c r="AJ10" s="42" t="str">
        <f>'Janeiro 25'!E10</f>
        <v>Adequado</v>
      </c>
      <c r="AK10" s="42">
        <f>'Fevereiro 25'!D10</f>
        <v>0</v>
      </c>
      <c r="AL10" s="42" t="str">
        <f>'Fevereiro 25'!F10</f>
        <v>10</v>
      </c>
      <c r="AM10" s="42" t="str">
        <f>'Fevereiro 25'!E10</f>
        <v>Adequado</v>
      </c>
      <c r="AN10" s="42">
        <f t="shared" si="1"/>
        <v>0</v>
      </c>
      <c r="AO10" s="15">
        <f t="shared" si="0"/>
        <v>120</v>
      </c>
      <c r="AP10" s="8">
        <f>0.3*(AO10/(20*C10))</f>
        <v>0.15</v>
      </c>
    </row>
    <row r="11" spans="1:42" x14ac:dyDescent="0.3">
      <c r="A11" s="8" t="s">
        <v>22</v>
      </c>
      <c r="B11" s="8" t="s">
        <v>9</v>
      </c>
      <c r="C11" s="16">
        <v>12</v>
      </c>
      <c r="D11" s="48">
        <f>Março!$D$11</f>
        <v>0</v>
      </c>
      <c r="E11" s="42" t="str">
        <f>Março!F11</f>
        <v>10</v>
      </c>
      <c r="F11" s="16" t="str">
        <f>Março!E11</f>
        <v>Adequado</v>
      </c>
      <c r="G11" s="56">
        <f>Abril!D11</f>
        <v>0</v>
      </c>
      <c r="H11" s="42" t="str">
        <f>Abril!F11</f>
        <v>10</v>
      </c>
      <c r="I11" s="42" t="str">
        <f>Abril!E11</f>
        <v>Adequado</v>
      </c>
      <c r="J11" s="42">
        <f>Maio!D11</f>
        <v>0</v>
      </c>
      <c r="K11" s="42" t="str">
        <f>Maio!F11</f>
        <v>10</v>
      </c>
      <c r="L11" s="42" t="str">
        <f>Maio!E11</f>
        <v>Adequado</v>
      </c>
      <c r="M11" s="42">
        <f>Junho!D11</f>
        <v>0</v>
      </c>
      <c r="N11" s="42" t="str">
        <f>Junho!F11</f>
        <v>10</v>
      </c>
      <c r="O11" s="42" t="str">
        <f>Junho!E11</f>
        <v>Adequado</v>
      </c>
      <c r="P11" s="42">
        <f>Julho!D11</f>
        <v>0</v>
      </c>
      <c r="Q11" s="42" t="str">
        <f>Julho!F11</f>
        <v>10</v>
      </c>
      <c r="R11" s="42" t="str">
        <f>Julho!E11</f>
        <v>Adequado</v>
      </c>
      <c r="S11" s="16">
        <f>Agosto!D11</f>
        <v>0</v>
      </c>
      <c r="T11" s="42" t="str">
        <f>Agosto!F11</f>
        <v>10</v>
      </c>
      <c r="U11" s="42" t="str">
        <f>Agosto!E11</f>
        <v>Adequado</v>
      </c>
      <c r="V11" s="42">
        <f>Setembro!D11</f>
        <v>0</v>
      </c>
      <c r="W11" s="42" t="str">
        <f>Setembro!F11</f>
        <v>10</v>
      </c>
      <c r="X11" s="42" t="str">
        <f>Setembro!E11</f>
        <v>Adequado</v>
      </c>
      <c r="Y11" s="42">
        <f>Outubro!D11</f>
        <v>0</v>
      </c>
      <c r="Z11" s="42" t="str">
        <f>Outubro!F11</f>
        <v>10</v>
      </c>
      <c r="AA11" s="42" t="str">
        <f>Outubro!E11</f>
        <v>Adequado</v>
      </c>
      <c r="AB11" s="42">
        <f>Novembro!D11</f>
        <v>0</v>
      </c>
      <c r="AC11" s="42" t="str">
        <f>Novembro!F11</f>
        <v>10</v>
      </c>
      <c r="AD11" s="42" t="str">
        <f>Novembro!E11</f>
        <v>Adequado</v>
      </c>
      <c r="AE11" s="42">
        <f>Dezembro!D11</f>
        <v>0</v>
      </c>
      <c r="AF11" s="42" t="str">
        <f>Dezembro!F11</f>
        <v>10</v>
      </c>
      <c r="AG11" s="42" t="str">
        <f>Dezembro!E11</f>
        <v>Adequado</v>
      </c>
      <c r="AH11" s="42">
        <f>'Janeiro 25'!D11</f>
        <v>0</v>
      </c>
      <c r="AI11" s="42" t="str">
        <f>'Janeiro 25'!F11</f>
        <v>10</v>
      </c>
      <c r="AJ11" s="42" t="str">
        <f>'Janeiro 25'!E11</f>
        <v>Adequado</v>
      </c>
      <c r="AK11" s="42">
        <f>'Fevereiro 25'!D11</f>
        <v>0</v>
      </c>
      <c r="AL11" s="42" t="str">
        <f>'Fevereiro 25'!F11</f>
        <v>10</v>
      </c>
      <c r="AM11" s="42" t="str">
        <f>'Fevereiro 25'!E11</f>
        <v>Adequado</v>
      </c>
      <c r="AN11" s="42">
        <f t="shared" si="1"/>
        <v>0</v>
      </c>
      <c r="AO11" s="15">
        <f t="shared" si="0"/>
        <v>120</v>
      </c>
      <c r="AP11" s="8">
        <f>0.3*(AO11/(20*C11))</f>
        <v>0.15</v>
      </c>
    </row>
    <row r="12" spans="1:42" x14ac:dyDescent="0.3">
      <c r="A12" s="8" t="s">
        <v>4</v>
      </c>
      <c r="B12" s="8" t="s">
        <v>62</v>
      </c>
      <c r="C12" s="16">
        <v>12</v>
      </c>
      <c r="D12" s="57">
        <f>Março!$D$12</f>
        <v>95.454545454545453</v>
      </c>
      <c r="E12" s="42" t="str">
        <f>Março!F12</f>
        <v>7,5</v>
      </c>
      <c r="F12" s="43" t="str">
        <f>Março!E12</f>
        <v>Suficiente</v>
      </c>
      <c r="G12" s="56">
        <f>Abril!D12</f>
        <v>100</v>
      </c>
      <c r="H12" s="42" t="str">
        <f>Abril!F12</f>
        <v>10</v>
      </c>
      <c r="I12" s="42" t="str">
        <f>Abril!E12</f>
        <v>Adequado</v>
      </c>
      <c r="J12" s="42">
        <f>Maio!D12</f>
        <v>100</v>
      </c>
      <c r="K12" s="42" t="str">
        <f>Maio!F12</f>
        <v>10</v>
      </c>
      <c r="L12" s="42" t="str">
        <f>Maio!E12</f>
        <v>Adequado</v>
      </c>
      <c r="M12" s="42">
        <f>Junho!D12</f>
        <v>98.039215686274503</v>
      </c>
      <c r="N12" s="42" t="str">
        <f>Junho!F12</f>
        <v>7,5</v>
      </c>
      <c r="O12" s="42" t="str">
        <f>Junho!E12</f>
        <v>Suficiente</v>
      </c>
      <c r="P12" s="42">
        <f>Julho!D12</f>
        <v>90.909090909090907</v>
      </c>
      <c r="Q12" s="42" t="str">
        <f>Julho!F12</f>
        <v>7,5</v>
      </c>
      <c r="R12" s="42" t="str">
        <f>Julho!E12</f>
        <v>Suficiente</v>
      </c>
      <c r="S12" s="43">
        <f>Agosto!D12</f>
        <v>95.121951219512198</v>
      </c>
      <c r="T12" s="42" t="str">
        <f>Agosto!F12</f>
        <v>7,5</v>
      </c>
      <c r="U12" s="42" t="str">
        <f>Agosto!E12</f>
        <v>Suficiente</v>
      </c>
      <c r="V12" s="42">
        <f>Setembro!D12</f>
        <v>97.9381443298969</v>
      </c>
      <c r="W12" s="42" t="str">
        <f>Setembro!F12</f>
        <v>7,5</v>
      </c>
      <c r="X12" s="42" t="str">
        <f>Setembro!E12</f>
        <v>Suficiente</v>
      </c>
      <c r="Y12" s="42">
        <f>Outubro!D12</f>
        <v>100</v>
      </c>
      <c r="Z12" s="42" t="str">
        <f>Outubro!F12</f>
        <v>10</v>
      </c>
      <c r="AA12" s="42" t="str">
        <f>Outubro!E12</f>
        <v>Adequado</v>
      </c>
      <c r="AB12" s="42">
        <f>Novembro!D12</f>
        <v>100</v>
      </c>
      <c r="AC12" s="42" t="str">
        <f>Novembro!F12</f>
        <v>10</v>
      </c>
      <c r="AD12" s="42" t="str">
        <f>Novembro!E12</f>
        <v>Adequado</v>
      </c>
      <c r="AE12" s="42">
        <f>Dezembro!D12</f>
        <v>100</v>
      </c>
      <c r="AF12" s="42" t="str">
        <f>Dezembro!F12</f>
        <v>10</v>
      </c>
      <c r="AG12" s="42" t="str">
        <f>Dezembro!E12</f>
        <v>Adequado</v>
      </c>
      <c r="AH12" s="42">
        <f>'Janeiro 25'!D12</f>
        <v>100</v>
      </c>
      <c r="AI12" s="42" t="str">
        <f>'Janeiro 25'!F12</f>
        <v>10</v>
      </c>
      <c r="AJ12" s="42" t="str">
        <f>'Janeiro 25'!E12</f>
        <v>Adequado</v>
      </c>
      <c r="AK12" s="42">
        <f>'Fevereiro 25'!D12</f>
        <v>100</v>
      </c>
      <c r="AL12" s="42" t="str">
        <f>'Fevereiro 25'!F12</f>
        <v>10</v>
      </c>
      <c r="AM12" s="42" t="str">
        <f>'Fevereiro 25'!E12</f>
        <v>Adequado</v>
      </c>
      <c r="AN12" s="42">
        <f t="shared" si="1"/>
        <v>98.121912299943332</v>
      </c>
      <c r="AO12" s="15">
        <f t="shared" si="0"/>
        <v>107.5</v>
      </c>
      <c r="AP12" s="8">
        <f>0.05*(AO12/(20*C12))</f>
        <v>2.2395833333333337E-2</v>
      </c>
    </row>
    <row r="13" spans="1:42" ht="15.6" x14ac:dyDescent="0.3">
      <c r="AP13" s="58">
        <f>SUM(AP7:AP12)</f>
        <v>0.88098958333333344</v>
      </c>
    </row>
    <row r="14" spans="1:42" x14ac:dyDescent="0.3">
      <c r="B14" s="4"/>
    </row>
  </sheetData>
  <mergeCells count="37">
    <mergeCell ref="P3:R3"/>
    <mergeCell ref="AH3:AI3"/>
    <mergeCell ref="AK3:AL3"/>
    <mergeCell ref="B1:B4"/>
    <mergeCell ref="D3:F3"/>
    <mergeCell ref="G3:I3"/>
    <mergeCell ref="J3:L3"/>
    <mergeCell ref="M3:O3"/>
    <mergeCell ref="D4:F4"/>
    <mergeCell ref="G4:I4"/>
    <mergeCell ref="J4:L4"/>
    <mergeCell ref="M4:O4"/>
    <mergeCell ref="P4:R4"/>
    <mergeCell ref="AB4:AD4"/>
    <mergeCell ref="AE4:AG4"/>
    <mergeCell ref="AH4:AJ4"/>
    <mergeCell ref="S3:U3"/>
    <mergeCell ref="V3:X3"/>
    <mergeCell ref="Y3:AA3"/>
    <mergeCell ref="AB3:AD3"/>
    <mergeCell ref="AE3:AG3"/>
    <mergeCell ref="AE5:AG5"/>
    <mergeCell ref="AH5:AJ5"/>
    <mergeCell ref="AK5:AM5"/>
    <mergeCell ref="AK4:AM4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S4:U4"/>
    <mergeCell ref="V4:X4"/>
    <mergeCell ref="Y4:AA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BFD7-2665-45A6-971D-8EA0DED8D48E}">
  <dimension ref="A1:F29"/>
  <sheetViews>
    <sheetView showGridLines="0" workbookViewId="0">
      <selection activeCell="D8" sqref="D8"/>
    </sheetView>
  </sheetViews>
  <sheetFormatPr defaultColWidth="8.77734375" defaultRowHeight="14.4" x14ac:dyDescent="0.3"/>
  <cols>
    <col min="1" max="1" width="26.44140625" customWidth="1"/>
    <col min="2" max="2" width="67.6640625" customWidth="1"/>
    <col min="3" max="3" width="18.441406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45597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30</v>
      </c>
      <c r="E4" s="8"/>
      <c r="F4" s="8"/>
    </row>
    <row r="5" spans="1:6" x14ac:dyDescent="0.3">
      <c r="C5" s="7" t="s">
        <v>5</v>
      </c>
      <c r="D5" s="8">
        <v>759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v>0.8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f>D5</f>
        <v>759</v>
      </c>
    </row>
    <row r="16" spans="1:6" x14ac:dyDescent="0.3">
      <c r="A16" s="23" t="s">
        <v>34</v>
      </c>
      <c r="B16" s="12" t="s">
        <v>59</v>
      </c>
      <c r="C16" s="51">
        <v>156</v>
      </c>
    </row>
    <row r="17" spans="1:4" x14ac:dyDescent="0.3">
      <c r="A17" s="23" t="s">
        <v>32</v>
      </c>
      <c r="B17" s="12" t="s">
        <v>36</v>
      </c>
      <c r="C17" s="16">
        <v>577</v>
      </c>
      <c r="D17" s="8">
        <v>156</v>
      </c>
    </row>
    <row r="18" spans="1:4" x14ac:dyDescent="0.3">
      <c r="A18" s="23" t="s">
        <v>33</v>
      </c>
      <c r="B18" s="12" t="s">
        <v>35</v>
      </c>
      <c r="C18" s="16">
        <v>20.5</v>
      </c>
      <c r="D18" s="8">
        <v>18</v>
      </c>
    </row>
    <row r="19" spans="1:4" x14ac:dyDescent="0.3">
      <c r="A19" s="23" t="s">
        <v>57</v>
      </c>
      <c r="B19" s="12" t="s">
        <v>58</v>
      </c>
      <c r="C19" s="16">
        <f>D4</f>
        <v>30</v>
      </c>
      <c r="D19" s="8">
        <v>3</v>
      </c>
    </row>
    <row r="20" spans="1:4" ht="43.2" x14ac:dyDescent="0.3">
      <c r="A20" s="23" t="s">
        <v>25</v>
      </c>
      <c r="B20" s="12" t="s">
        <v>26</v>
      </c>
      <c r="C20" s="6">
        <v>0</v>
      </c>
    </row>
    <row r="21" spans="1:4" ht="28.8" x14ac:dyDescent="0.3">
      <c r="A21" s="23" t="s">
        <v>27</v>
      </c>
      <c r="B21" s="12" t="s">
        <v>24</v>
      </c>
      <c r="C21" s="16">
        <v>0</v>
      </c>
    </row>
    <row r="22" spans="1:4" ht="28.8" x14ac:dyDescent="0.3">
      <c r="A22" s="23" t="s">
        <v>38</v>
      </c>
      <c r="B22" s="12" t="s">
        <v>40</v>
      </c>
      <c r="C22" s="16">
        <v>0</v>
      </c>
    </row>
    <row r="23" spans="1:4" x14ac:dyDescent="0.3">
      <c r="A23" s="23" t="s">
        <v>39</v>
      </c>
      <c r="B23" s="8" t="s">
        <v>41</v>
      </c>
      <c r="C23" s="16">
        <v>8</v>
      </c>
    </row>
    <row r="24" spans="1:4" ht="28.8" x14ac:dyDescent="0.3">
      <c r="A24" s="23" t="s">
        <v>43</v>
      </c>
      <c r="B24" s="12" t="s">
        <v>45</v>
      </c>
      <c r="C24" s="16">
        <v>0</v>
      </c>
    </row>
    <row r="25" spans="1:4" x14ac:dyDescent="0.3">
      <c r="A25" s="23" t="s">
        <v>44</v>
      </c>
      <c r="B25" s="8" t="s">
        <v>56</v>
      </c>
      <c r="C25" s="16">
        <f>D4</f>
        <v>30</v>
      </c>
    </row>
    <row r="26" spans="1:4" ht="43.2" x14ac:dyDescent="0.3">
      <c r="A26" s="23" t="s">
        <v>47</v>
      </c>
      <c r="B26" s="12" t="s">
        <v>49</v>
      </c>
      <c r="C26" s="16">
        <v>0</v>
      </c>
    </row>
    <row r="27" spans="1:4" x14ac:dyDescent="0.3">
      <c r="A27" s="23" t="s">
        <v>48</v>
      </c>
      <c r="B27" s="8" t="s">
        <v>50</v>
      </c>
      <c r="C27" s="16">
        <v>7.8</v>
      </c>
    </row>
    <row r="28" spans="1:4" ht="43.2" x14ac:dyDescent="0.3">
      <c r="A28" s="23" t="s">
        <v>52</v>
      </c>
      <c r="B28" s="12" t="s">
        <v>55</v>
      </c>
      <c r="C28" s="16">
        <v>192</v>
      </c>
    </row>
    <row r="29" spans="1:4" ht="28.8" x14ac:dyDescent="0.3">
      <c r="A29" s="23" t="s">
        <v>53</v>
      </c>
      <c r="B29" s="12" t="s">
        <v>54</v>
      </c>
      <c r="C29" s="16">
        <v>192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80FF-27FE-42E0-A749-B12951619F08}">
  <dimension ref="A1:F29"/>
  <sheetViews>
    <sheetView showGridLines="0" workbookViewId="0">
      <selection activeCell="C17" sqref="C17"/>
    </sheetView>
  </sheetViews>
  <sheetFormatPr defaultColWidth="8.77734375" defaultRowHeight="14.4" x14ac:dyDescent="0.3"/>
  <cols>
    <col min="1" max="1" width="16.44140625" customWidth="1"/>
    <col min="2" max="2" width="67.77734375" bestFit="1" customWidth="1"/>
    <col min="3" max="3" width="18.441406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45627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f>C15</f>
        <v>778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0.33247643530419879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778</v>
      </c>
    </row>
    <row r="16" spans="1:6" x14ac:dyDescent="0.3">
      <c r="A16" s="23" t="s">
        <v>34</v>
      </c>
      <c r="B16" s="12" t="s">
        <v>59</v>
      </c>
      <c r="C16" s="16">
        <v>390</v>
      </c>
    </row>
    <row r="17" spans="1:3" x14ac:dyDescent="0.3">
      <c r="A17" s="23" t="s">
        <v>32</v>
      </c>
      <c r="B17" s="12" t="s">
        <v>36</v>
      </c>
      <c r="C17" s="16">
        <f>C15-C16</f>
        <v>388</v>
      </c>
    </row>
    <row r="18" spans="1:3" x14ac:dyDescent="0.3">
      <c r="A18" s="23" t="s">
        <v>33</v>
      </c>
      <c r="B18" s="12" t="s">
        <v>35</v>
      </c>
      <c r="C18" s="16">
        <v>16</v>
      </c>
    </row>
    <row r="19" spans="1:3" x14ac:dyDescent="0.3">
      <c r="A19" s="23" t="s">
        <v>57</v>
      </c>
      <c r="B19" s="12" t="s">
        <v>58</v>
      </c>
      <c r="C19" s="16">
        <f>D4</f>
        <v>31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0</v>
      </c>
    </row>
    <row r="22" spans="1:3" ht="28.8" x14ac:dyDescent="0.3">
      <c r="A22" s="23" t="s">
        <v>38</v>
      </c>
      <c r="B22" s="12" t="s">
        <v>40</v>
      </c>
      <c r="C22" s="16">
        <v>0</v>
      </c>
    </row>
    <row r="23" spans="1:3" x14ac:dyDescent="0.3">
      <c r="A23" s="23" t="s">
        <v>39</v>
      </c>
      <c r="B23" s="8" t="s">
        <v>41</v>
      </c>
      <c r="C23" s="16">
        <v>8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31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8.75" customHeight="1" x14ac:dyDescent="0.3">
      <c r="A28" s="23" t="s">
        <v>52</v>
      </c>
      <c r="B28" s="12" t="s">
        <v>55</v>
      </c>
      <c r="C28" s="16">
        <v>603</v>
      </c>
    </row>
    <row r="29" spans="1:3" ht="28.8" x14ac:dyDescent="0.3">
      <c r="A29" s="23" t="s">
        <v>53</v>
      </c>
      <c r="B29" s="12" t="s">
        <v>54</v>
      </c>
      <c r="C29" s="16">
        <v>603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31D6-3DE2-4755-AE65-908A297D7914}">
  <dimension ref="A1:F29"/>
  <sheetViews>
    <sheetView showGridLines="0" topLeftCell="A13" workbookViewId="0">
      <selection activeCell="B26" sqref="B26"/>
    </sheetView>
  </sheetViews>
  <sheetFormatPr defaultColWidth="8.77734375" defaultRowHeight="14.4" x14ac:dyDescent="0.3"/>
  <cols>
    <col min="1" max="1" width="24.77734375" customWidth="1"/>
    <col min="2" max="2" width="67.77734375" bestFit="1" customWidth="1"/>
    <col min="3" max="3" width="18.44140625" customWidth="1"/>
    <col min="4" max="4" width="10.441406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45658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v>800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0.31166666666666665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ht="15" thickBot="1" x14ac:dyDescent="0.35">
      <c r="A14" s="22"/>
      <c r="B14" s="8" t="s">
        <v>23</v>
      </c>
      <c r="C14" s="8"/>
    </row>
    <row r="15" spans="1:6" ht="15" thickBot="1" x14ac:dyDescent="0.35">
      <c r="A15" s="28" t="s">
        <v>30</v>
      </c>
      <c r="B15" s="29" t="s">
        <v>31</v>
      </c>
      <c r="C15" s="38">
        <f>D5</f>
        <v>800</v>
      </c>
      <c r="D15" s="40"/>
      <c r="E15" s="40"/>
      <c r="F15" s="40"/>
    </row>
    <row r="16" spans="1:6" ht="15" thickTop="1" x14ac:dyDescent="0.3">
      <c r="A16" s="30" t="s">
        <v>34</v>
      </c>
      <c r="B16" s="12" t="s">
        <v>59</v>
      </c>
      <c r="C16" s="16">
        <v>0</v>
      </c>
      <c r="D16" s="52" t="s">
        <v>63</v>
      </c>
    </row>
    <row r="17" spans="1:4" x14ac:dyDescent="0.3">
      <c r="A17" s="30" t="s">
        <v>32</v>
      </c>
      <c r="B17" s="12" t="s">
        <v>36</v>
      </c>
      <c r="C17" s="16">
        <v>352</v>
      </c>
      <c r="D17" s="16">
        <v>429</v>
      </c>
    </row>
    <row r="18" spans="1:4" x14ac:dyDescent="0.3">
      <c r="A18" s="30" t="s">
        <v>33</v>
      </c>
      <c r="B18" s="12" t="s">
        <v>35</v>
      </c>
      <c r="C18" s="16">
        <f>24-7</f>
        <v>17</v>
      </c>
      <c r="D18" s="16">
        <v>4</v>
      </c>
    </row>
    <row r="19" spans="1:4" ht="15" thickBot="1" x14ac:dyDescent="0.35">
      <c r="A19" s="32" t="s">
        <v>57</v>
      </c>
      <c r="B19" s="33" t="s">
        <v>58</v>
      </c>
      <c r="C19" s="53">
        <v>31</v>
      </c>
      <c r="D19" s="34">
        <v>4</v>
      </c>
    </row>
    <row r="20" spans="1:4" ht="43.2" x14ac:dyDescent="0.3">
      <c r="A20" s="23" t="s">
        <v>25</v>
      </c>
      <c r="B20" s="12" t="s">
        <v>26</v>
      </c>
      <c r="C20" s="16">
        <v>0</v>
      </c>
    </row>
    <row r="21" spans="1:4" ht="28.8" x14ac:dyDescent="0.3">
      <c r="A21" s="23" t="s">
        <v>27</v>
      </c>
      <c r="B21" s="12" t="s">
        <v>24</v>
      </c>
      <c r="C21" s="16">
        <v>0</v>
      </c>
    </row>
    <row r="22" spans="1:4" ht="28.8" x14ac:dyDescent="0.3">
      <c r="A22" s="23" t="s">
        <v>38</v>
      </c>
      <c r="B22" s="12" t="s">
        <v>40</v>
      </c>
      <c r="C22" s="16">
        <v>0</v>
      </c>
    </row>
    <row r="23" spans="1:4" x14ac:dyDescent="0.3">
      <c r="A23" s="23" t="s">
        <v>39</v>
      </c>
      <c r="B23" s="8" t="s">
        <v>41</v>
      </c>
      <c r="C23" s="16">
        <v>8</v>
      </c>
    </row>
    <row r="24" spans="1:4" ht="28.8" x14ac:dyDescent="0.3">
      <c r="A24" s="23" t="s">
        <v>43</v>
      </c>
      <c r="B24" s="12" t="s">
        <v>45</v>
      </c>
      <c r="C24" s="16">
        <v>0</v>
      </c>
    </row>
    <row r="25" spans="1:4" x14ac:dyDescent="0.3">
      <c r="A25" s="23" t="s">
        <v>44</v>
      </c>
      <c r="B25" s="8" t="s">
        <v>56</v>
      </c>
      <c r="C25" s="16">
        <f>D4</f>
        <v>31</v>
      </c>
    </row>
    <row r="26" spans="1:4" ht="43.2" x14ac:dyDescent="0.3">
      <c r="A26" s="23" t="s">
        <v>47</v>
      </c>
      <c r="B26" s="12" t="s">
        <v>49</v>
      </c>
      <c r="C26" s="16">
        <v>0</v>
      </c>
    </row>
    <row r="27" spans="1:4" x14ac:dyDescent="0.3">
      <c r="A27" s="23" t="s">
        <v>48</v>
      </c>
      <c r="B27" s="8" t="s">
        <v>50</v>
      </c>
      <c r="C27" s="16">
        <v>7.8</v>
      </c>
    </row>
    <row r="28" spans="1:4" ht="48.75" customHeight="1" x14ac:dyDescent="0.3">
      <c r="A28" s="23" t="s">
        <v>52</v>
      </c>
      <c r="B28" s="12" t="s">
        <v>55</v>
      </c>
      <c r="C28" s="16">
        <v>504</v>
      </c>
    </row>
    <row r="29" spans="1:4" ht="28.8" x14ac:dyDescent="0.3">
      <c r="A29" s="23" t="s">
        <v>53</v>
      </c>
      <c r="B29" s="12" t="s">
        <v>54</v>
      </c>
      <c r="C29" s="16">
        <v>504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16B5-1270-4E6B-829E-FF5F3BE343F8}">
  <dimension ref="A1:F29"/>
  <sheetViews>
    <sheetView showGridLines="0" topLeftCell="A20" workbookViewId="0">
      <selection activeCell="A12" sqref="A12"/>
    </sheetView>
  </sheetViews>
  <sheetFormatPr defaultColWidth="8.77734375" defaultRowHeight="14.4" x14ac:dyDescent="0.3"/>
  <cols>
    <col min="1" max="1" width="30.6640625" customWidth="1"/>
    <col min="2" max="2" width="57.77734375" customWidth="1"/>
    <col min="3" max="3" width="19.441406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45689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28</v>
      </c>
      <c r="E4" s="8"/>
      <c r="F4" s="8"/>
    </row>
    <row r="5" spans="1:6" x14ac:dyDescent="0.3">
      <c r="C5" s="7" t="s">
        <v>5</v>
      </c>
      <c r="D5" s="8">
        <f>C15</f>
        <v>806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0.3917235318444996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10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ht="15" thickBot="1" x14ac:dyDescent="0.35">
      <c r="C13" s="20"/>
      <c r="D13" s="21"/>
    </row>
    <row r="14" spans="1:6" ht="15" thickBot="1" x14ac:dyDescent="0.35">
      <c r="A14" s="35"/>
      <c r="B14" s="36" t="s">
        <v>23</v>
      </c>
      <c r="C14" s="37"/>
      <c r="D14" s="39"/>
    </row>
    <row r="15" spans="1:6" x14ac:dyDescent="0.3">
      <c r="A15" s="28" t="s">
        <v>30</v>
      </c>
      <c r="B15" s="29" t="s">
        <v>31</v>
      </c>
      <c r="C15" s="38">
        <v>806</v>
      </c>
      <c r="D15" s="41"/>
    </row>
    <row r="16" spans="1:6" x14ac:dyDescent="0.3">
      <c r="A16" s="30" t="s">
        <v>34</v>
      </c>
      <c r="B16" s="12" t="s">
        <v>59</v>
      </c>
      <c r="C16" s="16">
        <v>0</v>
      </c>
      <c r="D16" s="31" t="s">
        <v>60</v>
      </c>
    </row>
    <row r="17" spans="1:4" ht="28.8" x14ac:dyDescent="0.3">
      <c r="A17" s="30" t="s">
        <v>32</v>
      </c>
      <c r="B17" s="12" t="s">
        <v>36</v>
      </c>
      <c r="C17" s="16">
        <f>C15-D17</f>
        <v>433</v>
      </c>
      <c r="D17" s="31">
        <v>373</v>
      </c>
    </row>
    <row r="18" spans="1:4" x14ac:dyDescent="0.3">
      <c r="A18" s="30" t="s">
        <v>33</v>
      </c>
      <c r="B18" s="12" t="s">
        <v>35</v>
      </c>
      <c r="C18" s="16">
        <v>17.5</v>
      </c>
      <c r="D18" s="31">
        <v>5.5</v>
      </c>
    </row>
    <row r="19" spans="1:4" ht="15" thickBot="1" x14ac:dyDescent="0.35">
      <c r="A19" s="32" t="s">
        <v>57</v>
      </c>
      <c r="B19" s="33" t="s">
        <v>58</v>
      </c>
      <c r="C19" s="34">
        <f>D4</f>
        <v>28</v>
      </c>
      <c r="D19" s="54">
        <v>28</v>
      </c>
    </row>
    <row r="20" spans="1:4" ht="43.2" x14ac:dyDescent="0.3">
      <c r="A20" s="26" t="s">
        <v>25</v>
      </c>
      <c r="B20" s="27" t="s">
        <v>26</v>
      </c>
      <c r="C20" s="6">
        <v>0</v>
      </c>
    </row>
    <row r="21" spans="1:4" ht="28.8" x14ac:dyDescent="0.3">
      <c r="A21" s="23" t="s">
        <v>27</v>
      </c>
      <c r="B21" s="12" t="s">
        <v>24</v>
      </c>
      <c r="C21" s="16">
        <v>0</v>
      </c>
    </row>
    <row r="22" spans="1:4" ht="28.8" x14ac:dyDescent="0.3">
      <c r="A22" s="23" t="s">
        <v>38</v>
      </c>
      <c r="B22" s="12" t="s">
        <v>40</v>
      </c>
      <c r="C22" s="16">
        <v>0</v>
      </c>
    </row>
    <row r="23" spans="1:4" x14ac:dyDescent="0.3">
      <c r="A23" s="23" t="s">
        <v>39</v>
      </c>
      <c r="B23" s="8" t="s">
        <v>41</v>
      </c>
      <c r="C23" s="16">
        <v>7</v>
      </c>
    </row>
    <row r="24" spans="1:4" ht="28.8" x14ac:dyDescent="0.3">
      <c r="A24" s="23" t="s">
        <v>43</v>
      </c>
      <c r="B24" s="12" t="s">
        <v>45</v>
      </c>
      <c r="C24" s="16">
        <v>0</v>
      </c>
    </row>
    <row r="25" spans="1:4" x14ac:dyDescent="0.3">
      <c r="A25" s="23" t="s">
        <v>44</v>
      </c>
      <c r="B25" s="8" t="s">
        <v>56</v>
      </c>
      <c r="C25" s="16">
        <f>D4</f>
        <v>28</v>
      </c>
    </row>
    <row r="26" spans="1:4" ht="43.2" x14ac:dyDescent="0.3">
      <c r="A26" s="23" t="s">
        <v>47</v>
      </c>
      <c r="B26" s="12" t="s">
        <v>49</v>
      </c>
      <c r="C26" s="16">
        <v>0</v>
      </c>
    </row>
    <row r="27" spans="1:4" x14ac:dyDescent="0.3">
      <c r="A27" s="23" t="s">
        <v>48</v>
      </c>
      <c r="B27" s="8" t="s">
        <v>50</v>
      </c>
      <c r="C27" s="16">
        <v>7.8</v>
      </c>
    </row>
    <row r="28" spans="1:4" ht="43.2" x14ac:dyDescent="0.3">
      <c r="A28" s="23" t="s">
        <v>52</v>
      </c>
      <c r="B28" s="12" t="s">
        <v>55</v>
      </c>
      <c r="C28" s="16">
        <v>362</v>
      </c>
    </row>
    <row r="29" spans="1:4" ht="28.8" x14ac:dyDescent="0.3">
      <c r="A29" s="23" t="s">
        <v>53</v>
      </c>
      <c r="B29" s="12" t="s">
        <v>54</v>
      </c>
      <c r="C29" s="16">
        <v>362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FC20-C9B6-4120-A5CC-3C7B75043A16}">
  <dimension ref="A1:F29"/>
  <sheetViews>
    <sheetView showGridLines="0" topLeftCell="B1" workbookViewId="0">
      <selection activeCell="K17" sqref="K17"/>
    </sheetView>
  </sheetViews>
  <sheetFormatPr defaultColWidth="8.77734375" defaultRowHeight="14.4" x14ac:dyDescent="0.3"/>
  <cols>
    <col min="1" max="1" width="27.6640625" customWidth="1"/>
    <col min="2" max="2" width="66" customWidth="1"/>
    <col min="3" max="3" width="19" bestFit="1" customWidth="1"/>
    <col min="5" max="5" width="12.21875" bestFit="1" customWidth="1"/>
  </cols>
  <sheetData>
    <row r="1" spans="1:6" x14ac:dyDescent="0.3">
      <c r="B1" s="70"/>
      <c r="C1" s="3"/>
      <c r="D1" s="3"/>
      <c r="E1" s="3"/>
      <c r="F1" s="3"/>
    </row>
    <row r="2" spans="1:6" x14ac:dyDescent="0.3">
      <c r="B2" s="70"/>
      <c r="C2" s="3"/>
      <c r="D2" s="3"/>
      <c r="E2" s="3"/>
      <c r="F2" s="3"/>
    </row>
    <row r="3" spans="1:6" ht="30" customHeight="1" x14ac:dyDescent="0.3">
      <c r="B3" s="70"/>
      <c r="C3" s="3"/>
      <c r="D3" s="13">
        <v>45352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19">
        <v>31</v>
      </c>
      <c r="E4" s="8"/>
      <c r="F4" s="8"/>
    </row>
    <row r="5" spans="1:6" x14ac:dyDescent="0.3">
      <c r="C5" s="7" t="s">
        <v>5</v>
      </c>
      <c r="D5" s="19">
        <v>523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0.61663479923518161</v>
      </c>
      <c r="E7" s="17" t="str">
        <f>IF(D7=0,"Adequado",IF(D7&lt;1,"Suficiente",IF(D7&lt;2,"Insuficiente",IF(D7&lt;5,"Inadequado",IF(D7&gt;5,"Inaceitavel")))))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17" t="str">
        <f>IF(D8=0,"Adequado",IF(D8&lt;25,"Suficiente",IF(D8&lt;50,"Insuficiente",IF(D8&lt;100,"Inadequado",IF(D8&gt;=100,"Iinaceitavel")))))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17" t="str">
        <f>IF(D9&gt;=95,"Adequado",IF(D9&lt;95,"Suficiente",IF(D9&lt;90,"Insuficiente",IF(D9&lt;80,"Inadequado",IF(D9&gt;70,"Inaceitavel")))))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17" t="str">
        <f>IF(D10=0,"Adequado",IF(D10&lt;1,"Suficiente",IF(D10&lt;3,"Insuficiente",IF(D10&lt;5,"Inadequado",IF(D10&gt;5,"Inaceitavel")))))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17" t="str">
        <f>IF(D11&lt;=1,"Adequado",IF(D11&lt;3,"Suficiente",IF(D11&lt;5,"Insuficiente",IF(D11&lt;10,"Inadequado",IF(D11&gt;10,"Inaceitavel")))))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62</v>
      </c>
      <c r="C12" s="16">
        <v>1</v>
      </c>
      <c r="D12" s="25">
        <f>(C28/C29)*100</f>
        <v>95.454545454545453</v>
      </c>
      <c r="E12" s="17" t="str">
        <f>IF(D12=100,"Adequado",IF(D12&lt;100,"Suficiente",IF(D12&lt;95,"Insuficiente",IF(D12&lt;90,"Inadequado",IF(D12&lt;80,"Inaceitavel")))))</f>
        <v>Suficiente</v>
      </c>
      <c r="F12" s="8" t="str">
        <f>IF($D$12=100,"10",IF($D$12&lt;100,"7,5",IF($D$12&lt;95,"5",IF($D$12&lt;90,"2,5",IF($D$12&lt;80,"0")))))</f>
        <v>7,5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f>D5</f>
        <v>523</v>
      </c>
    </row>
    <row r="16" spans="1:6" x14ac:dyDescent="0.3">
      <c r="A16" s="23" t="s">
        <v>34</v>
      </c>
      <c r="B16" s="12" t="s">
        <v>59</v>
      </c>
      <c r="C16" s="16">
        <v>93</v>
      </c>
    </row>
    <row r="17" spans="1:3" x14ac:dyDescent="0.3">
      <c r="A17" s="23" t="s">
        <v>32</v>
      </c>
      <c r="B17" s="12" t="s">
        <v>36</v>
      </c>
      <c r="C17" s="16">
        <f>C15-C16</f>
        <v>430</v>
      </c>
    </row>
    <row r="18" spans="1:3" x14ac:dyDescent="0.3">
      <c r="A18" s="23" t="s">
        <v>33</v>
      </c>
      <c r="B18" s="12" t="s">
        <v>35</v>
      </c>
      <c r="C18" s="16">
        <v>18</v>
      </c>
    </row>
    <row r="19" spans="1:3" x14ac:dyDescent="0.3">
      <c r="A19" s="23" t="s">
        <v>57</v>
      </c>
      <c r="B19" s="12" t="s">
        <v>58</v>
      </c>
      <c r="C19" s="16">
        <f>D4</f>
        <v>31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0</v>
      </c>
    </row>
    <row r="22" spans="1:3" ht="28.8" x14ac:dyDescent="0.3">
      <c r="A22" s="23" t="s">
        <v>38</v>
      </c>
      <c r="B22" s="12" t="s">
        <v>40</v>
      </c>
      <c r="C22" s="16">
        <v>0</v>
      </c>
    </row>
    <row r="23" spans="1:3" x14ac:dyDescent="0.3">
      <c r="A23" s="23" t="s">
        <v>39</v>
      </c>
      <c r="B23" s="8" t="s">
        <v>41</v>
      </c>
      <c r="C23" s="16">
        <v>8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31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3.2" x14ac:dyDescent="0.3">
      <c r="A28" s="23" t="s">
        <v>52</v>
      </c>
      <c r="B28" s="12" t="s">
        <v>55</v>
      </c>
      <c r="C28" s="16">
        <v>21</v>
      </c>
    </row>
    <row r="29" spans="1:3" ht="28.8" x14ac:dyDescent="0.3">
      <c r="A29" s="23" t="s">
        <v>53</v>
      </c>
      <c r="B29" s="12" t="s">
        <v>54</v>
      </c>
      <c r="C29" s="16">
        <v>22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28C3-9ED8-45A3-BFDE-8235E023BE13}">
  <dimension ref="A1:F29"/>
  <sheetViews>
    <sheetView topLeftCell="A2" zoomScale="125" workbookViewId="0">
      <selection activeCell="C20" sqref="C20"/>
    </sheetView>
  </sheetViews>
  <sheetFormatPr defaultColWidth="8.77734375" defaultRowHeight="14.4" x14ac:dyDescent="0.3"/>
  <cols>
    <col min="1" max="1" width="35.33203125" customWidth="1"/>
    <col min="2" max="2" width="57.77734375" customWidth="1"/>
    <col min="3" max="3" width="19.7773437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45383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30</v>
      </c>
      <c r="E4" s="8"/>
      <c r="F4" s="8"/>
    </row>
    <row r="5" spans="1:6" x14ac:dyDescent="0.3">
      <c r="C5" s="7" t="s">
        <v>5</v>
      </c>
      <c r="D5" s="8">
        <v>536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0.23258706467661691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(C20/C21)*100</f>
        <v>0</v>
      </c>
      <c r="E8" s="8" t="str">
        <f>IF($D$12=100,"Adequado",IF($D$12&lt;100,"Suficiente",IF($D$12&lt;95,"Insuficiente",IF($D$12&lt;90,"Inadequado",IF($D$12&lt;80,"Inaceitavel")))))</f>
        <v>Adequado</v>
      </c>
      <c r="F8" s="8" t="str">
        <f>IF($D$8=0,"10",IF($D$8&lt;1,"7,5",IF($D$8&lt;2,"5",IF($D$8&lt;5,"2,5",IF($D$8&gt;5,"0")))))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62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566</v>
      </c>
    </row>
    <row r="16" spans="1:6" x14ac:dyDescent="0.3">
      <c r="A16" s="23" t="s">
        <v>34</v>
      </c>
      <c r="B16" s="12" t="s">
        <v>59</v>
      </c>
      <c r="C16" s="51">
        <v>180</v>
      </c>
    </row>
    <row r="17" spans="1:4" ht="28.8" x14ac:dyDescent="0.3">
      <c r="A17" s="23" t="s">
        <v>32</v>
      </c>
      <c r="B17" s="12" t="s">
        <v>36</v>
      </c>
      <c r="C17" s="16">
        <v>176</v>
      </c>
      <c r="D17" s="8">
        <v>163</v>
      </c>
    </row>
    <row r="18" spans="1:4" x14ac:dyDescent="0.3">
      <c r="A18" s="23" t="s">
        <v>33</v>
      </c>
      <c r="B18" s="12" t="s">
        <v>35</v>
      </c>
      <c r="C18" s="16">
        <v>17</v>
      </c>
      <c r="D18" s="8">
        <v>15.6</v>
      </c>
    </row>
    <row r="19" spans="1:4" x14ac:dyDescent="0.3">
      <c r="A19" s="23" t="s">
        <v>57</v>
      </c>
      <c r="B19" s="12" t="s">
        <v>58</v>
      </c>
      <c r="C19" s="16">
        <v>30</v>
      </c>
      <c r="D19" s="8">
        <v>30</v>
      </c>
    </row>
    <row r="20" spans="1:4" ht="43.2" x14ac:dyDescent="0.3">
      <c r="A20" s="23" t="s">
        <v>25</v>
      </c>
      <c r="B20" s="12" t="s">
        <v>26</v>
      </c>
      <c r="C20" s="6">
        <v>0</v>
      </c>
    </row>
    <row r="21" spans="1:4" ht="28.8" x14ac:dyDescent="0.3">
      <c r="A21" s="23" t="s">
        <v>27</v>
      </c>
      <c r="B21" s="12" t="s">
        <v>24</v>
      </c>
      <c r="C21" s="16">
        <v>7</v>
      </c>
    </row>
    <row r="22" spans="1:4" ht="28.8" x14ac:dyDescent="0.3">
      <c r="A22" s="23" t="s">
        <v>38</v>
      </c>
      <c r="B22" s="12" t="s">
        <v>40</v>
      </c>
      <c r="C22" s="16">
        <v>0</v>
      </c>
    </row>
    <row r="23" spans="1:4" x14ac:dyDescent="0.3">
      <c r="A23" s="23" t="s">
        <v>39</v>
      </c>
      <c r="B23" s="8" t="s">
        <v>41</v>
      </c>
      <c r="C23" s="16">
        <v>7</v>
      </c>
    </row>
    <row r="24" spans="1:4" ht="28.8" x14ac:dyDescent="0.3">
      <c r="A24" s="23" t="s">
        <v>43</v>
      </c>
      <c r="B24" s="12" t="s">
        <v>45</v>
      </c>
      <c r="C24" s="16">
        <v>0</v>
      </c>
    </row>
    <row r="25" spans="1:4" x14ac:dyDescent="0.3">
      <c r="A25" s="23" t="s">
        <v>44</v>
      </c>
      <c r="B25" s="8" t="s">
        <v>56</v>
      </c>
      <c r="C25" s="16">
        <f>D4</f>
        <v>30</v>
      </c>
    </row>
    <row r="26" spans="1:4" ht="43.2" x14ac:dyDescent="0.3">
      <c r="A26" s="23" t="s">
        <v>47</v>
      </c>
      <c r="B26" s="12" t="s">
        <v>49</v>
      </c>
      <c r="C26" s="16">
        <v>0</v>
      </c>
    </row>
    <row r="27" spans="1:4" x14ac:dyDescent="0.3">
      <c r="A27" s="23" t="s">
        <v>48</v>
      </c>
      <c r="B27" s="8" t="s">
        <v>50</v>
      </c>
      <c r="C27" s="16">
        <v>7.8</v>
      </c>
    </row>
    <row r="28" spans="1:4" ht="43.2" x14ac:dyDescent="0.3">
      <c r="A28" s="23" t="s">
        <v>52</v>
      </c>
      <c r="B28" s="12" t="s">
        <v>55</v>
      </c>
      <c r="C28" s="16">
        <v>36</v>
      </c>
    </row>
    <row r="29" spans="1:4" ht="28.8" x14ac:dyDescent="0.3">
      <c r="A29" s="23" t="s">
        <v>53</v>
      </c>
      <c r="B29" s="12" t="s">
        <v>54</v>
      </c>
      <c r="C29" s="16">
        <v>36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2531-8D05-479C-9C1D-915B7B659AC3}">
  <dimension ref="A1:F29"/>
  <sheetViews>
    <sheetView workbookViewId="0">
      <selection activeCell="C20" sqref="C20"/>
    </sheetView>
  </sheetViews>
  <sheetFormatPr defaultColWidth="8.77734375" defaultRowHeight="14.4" x14ac:dyDescent="0.3"/>
  <cols>
    <col min="1" max="1" width="26.21875" bestFit="1" customWidth="1"/>
    <col min="2" max="2" width="60.77734375" customWidth="1"/>
    <col min="3" max="3" width="20.332031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45413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v>579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0.10780944156591825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(C20/C21)*100</f>
        <v>0</v>
      </c>
      <c r="E8" s="8" t="str">
        <f>IF($D$12=100,"Adequado",IF($D$12&lt;100,"Suficiente",IF($D$12&lt;95,"Insuficiente",IF($D$12&lt;90,"Inadequado",IF($D$12&lt;80,"Inaceitavel")))))</f>
        <v>Adequado</v>
      </c>
      <c r="F8" s="8" t="str">
        <f>IF($D$8=0,"10",IF($D$8&lt;1,"7,5",IF($D$8&lt;2,"5",IF($D$8&lt;5,"2,5",IF($D$8&gt;5,"0")))))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538</v>
      </c>
    </row>
    <row r="16" spans="1:6" x14ac:dyDescent="0.3">
      <c r="A16" s="23" t="s">
        <v>34</v>
      </c>
      <c r="B16" s="12" t="s">
        <v>59</v>
      </c>
      <c r="C16" s="16">
        <v>181</v>
      </c>
    </row>
    <row r="17" spans="1:5" ht="28.8" x14ac:dyDescent="0.3">
      <c r="A17" s="23" t="s">
        <v>32</v>
      </c>
      <c r="B17" s="12" t="s">
        <v>36</v>
      </c>
      <c r="C17" s="16">
        <v>172</v>
      </c>
      <c r="D17">
        <v>185</v>
      </c>
      <c r="E17">
        <v>185</v>
      </c>
    </row>
    <row r="18" spans="1:5" x14ac:dyDescent="0.3">
      <c r="A18" s="23" t="s">
        <v>33</v>
      </c>
      <c r="B18" s="12" t="s">
        <v>35</v>
      </c>
      <c r="C18" s="16">
        <v>8.7100000000000009</v>
      </c>
      <c r="D18">
        <v>13.78</v>
      </c>
      <c r="E18">
        <v>17</v>
      </c>
    </row>
    <row r="19" spans="1:5" x14ac:dyDescent="0.3">
      <c r="A19" s="23" t="s">
        <v>57</v>
      </c>
      <c r="B19" s="12" t="s">
        <v>58</v>
      </c>
      <c r="C19" s="16">
        <f>D4</f>
        <v>31</v>
      </c>
      <c r="D19">
        <v>18</v>
      </c>
      <c r="E19">
        <v>13</v>
      </c>
    </row>
    <row r="20" spans="1:5" ht="43.2" x14ac:dyDescent="0.3">
      <c r="A20" s="23" t="s">
        <v>25</v>
      </c>
      <c r="B20" s="12" t="s">
        <v>26</v>
      </c>
      <c r="C20" s="16">
        <v>0</v>
      </c>
    </row>
    <row r="21" spans="1:5" ht="28.8" x14ac:dyDescent="0.3">
      <c r="A21" s="23" t="s">
        <v>27</v>
      </c>
      <c r="B21" s="12" t="s">
        <v>24</v>
      </c>
      <c r="C21" s="16">
        <v>7</v>
      </c>
    </row>
    <row r="22" spans="1:5" ht="28.8" x14ac:dyDescent="0.3">
      <c r="A22" s="23" t="s">
        <v>38</v>
      </c>
      <c r="B22" s="12" t="s">
        <v>40</v>
      </c>
      <c r="C22" s="16">
        <v>0</v>
      </c>
    </row>
    <row r="23" spans="1:5" x14ac:dyDescent="0.3">
      <c r="A23" s="23" t="s">
        <v>39</v>
      </c>
      <c r="B23" s="8" t="s">
        <v>41</v>
      </c>
      <c r="C23" s="16">
        <v>7</v>
      </c>
    </row>
    <row r="24" spans="1:5" ht="28.8" x14ac:dyDescent="0.3">
      <c r="A24" s="23" t="s">
        <v>43</v>
      </c>
      <c r="B24" s="12" t="s">
        <v>45</v>
      </c>
      <c r="C24" s="16">
        <v>0</v>
      </c>
    </row>
    <row r="25" spans="1:5" x14ac:dyDescent="0.3">
      <c r="A25" s="23" t="s">
        <v>44</v>
      </c>
      <c r="B25" s="8" t="s">
        <v>56</v>
      </c>
      <c r="C25" s="16">
        <f>D4</f>
        <v>31</v>
      </c>
    </row>
    <row r="26" spans="1:5" ht="43.2" x14ac:dyDescent="0.3">
      <c r="A26" s="23" t="s">
        <v>47</v>
      </c>
      <c r="B26" s="12" t="s">
        <v>49</v>
      </c>
      <c r="C26" s="16">
        <v>0</v>
      </c>
    </row>
    <row r="27" spans="1:5" x14ac:dyDescent="0.3">
      <c r="A27" s="23" t="s">
        <v>48</v>
      </c>
      <c r="B27" s="8" t="s">
        <v>50</v>
      </c>
      <c r="C27" s="16">
        <v>7.8</v>
      </c>
    </row>
    <row r="28" spans="1:5" ht="43.2" x14ac:dyDescent="0.3">
      <c r="A28" s="23" t="s">
        <v>52</v>
      </c>
      <c r="B28" s="12" t="s">
        <v>55</v>
      </c>
      <c r="C28" s="16">
        <v>55</v>
      </c>
    </row>
    <row r="29" spans="1:5" ht="28.8" x14ac:dyDescent="0.3">
      <c r="A29" s="23" t="s">
        <v>53</v>
      </c>
      <c r="B29" s="12" t="s">
        <v>54</v>
      </c>
      <c r="C29" s="16">
        <v>55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1F4-39F0-46AA-B86B-2F535C243736}">
  <dimension ref="A1:G29"/>
  <sheetViews>
    <sheetView showGridLines="0" workbookViewId="0">
      <selection activeCell="C21" sqref="C21"/>
    </sheetView>
  </sheetViews>
  <sheetFormatPr defaultColWidth="8.77734375" defaultRowHeight="14.4" x14ac:dyDescent="0.3"/>
  <cols>
    <col min="1" max="1" width="28" customWidth="1"/>
    <col min="2" max="2" width="57.77734375" customWidth="1"/>
    <col min="3" max="3" width="19.21875" customWidth="1"/>
    <col min="5" max="5" width="12.44140625" customWidth="1"/>
    <col min="6" max="6" width="10.44140625" customWidth="1"/>
  </cols>
  <sheetData>
    <row r="1" spans="1:7" x14ac:dyDescent="0.3">
      <c r="B1" s="70"/>
      <c r="D1" s="3"/>
      <c r="E1" s="3"/>
      <c r="F1" s="3"/>
    </row>
    <row r="2" spans="1:7" x14ac:dyDescent="0.3">
      <c r="B2" s="70"/>
      <c r="D2" s="3"/>
      <c r="E2" s="3"/>
      <c r="F2" s="3"/>
    </row>
    <row r="3" spans="1:7" ht="30" customHeight="1" x14ac:dyDescent="0.3">
      <c r="B3" s="70"/>
      <c r="D3" s="1">
        <v>45444</v>
      </c>
      <c r="E3" s="1" t="s">
        <v>16</v>
      </c>
      <c r="F3" s="13" t="s">
        <v>17</v>
      </c>
    </row>
    <row r="4" spans="1:7" x14ac:dyDescent="0.3">
      <c r="B4" s="70"/>
      <c r="C4" s="7" t="s">
        <v>6</v>
      </c>
      <c r="D4" s="8">
        <v>30</v>
      </c>
      <c r="E4" s="8"/>
      <c r="F4" s="8"/>
    </row>
    <row r="5" spans="1:7" x14ac:dyDescent="0.3">
      <c r="C5" s="7" t="s">
        <v>5</v>
      </c>
      <c r="D5" s="8">
        <v>581</v>
      </c>
      <c r="E5" s="8"/>
      <c r="F5" s="9"/>
    </row>
    <row r="6" spans="1:7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7" x14ac:dyDescent="0.3">
      <c r="A7" s="8" t="s">
        <v>29</v>
      </c>
      <c r="B7" s="12" t="s">
        <v>18</v>
      </c>
      <c r="C7" s="16">
        <v>1</v>
      </c>
      <c r="D7" s="24">
        <f>(((C17*C18*C19))/(D5*24*C19))</f>
        <v>0.32697217441193344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  <c r="G7" s="44"/>
    </row>
    <row r="8" spans="1:7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  <c r="G8" s="46"/>
    </row>
    <row r="9" spans="1:7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  <c r="G9" s="45"/>
    </row>
    <row r="10" spans="1:7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  <c r="G10" s="46"/>
    </row>
    <row r="11" spans="1:7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  <c r="G11" s="45"/>
    </row>
    <row r="12" spans="1:7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98.039215686274503</v>
      </c>
      <c r="E12" s="8" t="str">
        <f>IF($D$12=100,"Adequado",IF($D$12&lt;100,"Suficiente",IF($D$12&lt;95,"Insuficiente",IF($D$12&lt;90,"Inadequado",IF($D$12&lt;80,"Inaceitavel")))))</f>
        <v>Suficiente</v>
      </c>
      <c r="F12" s="8" t="str">
        <f>IF($D$12=100,"10",IF($D$12&lt;100,"7,5",IF($D$12&lt;95,"5",IF($D$12&lt;90,"2,5",IF($D$12&lt;80,"0")))))</f>
        <v>7,5</v>
      </c>
      <c r="G12" s="44"/>
    </row>
    <row r="13" spans="1:7" x14ac:dyDescent="0.3">
      <c r="C13" s="20"/>
      <c r="D13" s="21"/>
    </row>
    <row r="14" spans="1:7" x14ac:dyDescent="0.3">
      <c r="A14" s="22"/>
      <c r="B14" s="8" t="s">
        <v>23</v>
      </c>
      <c r="C14" s="8"/>
    </row>
    <row r="15" spans="1:7" x14ac:dyDescent="0.3">
      <c r="A15" s="23" t="s">
        <v>30</v>
      </c>
      <c r="B15" s="12" t="s">
        <v>31</v>
      </c>
      <c r="C15" s="16">
        <v>540</v>
      </c>
    </row>
    <row r="16" spans="1:7" x14ac:dyDescent="0.3">
      <c r="A16" s="23" t="s">
        <v>34</v>
      </c>
      <c r="B16" s="12" t="s">
        <v>59</v>
      </c>
      <c r="C16" s="16">
        <v>181</v>
      </c>
    </row>
    <row r="17" spans="1:3" ht="28.8" x14ac:dyDescent="0.3">
      <c r="A17" s="23" t="s">
        <v>32</v>
      </c>
      <c r="B17" s="12" t="s">
        <v>36</v>
      </c>
      <c r="C17" s="16">
        <v>359</v>
      </c>
    </row>
    <row r="18" spans="1:3" x14ac:dyDescent="0.3">
      <c r="A18" s="23" t="s">
        <v>33</v>
      </c>
      <c r="B18" s="12" t="s">
        <v>35</v>
      </c>
      <c r="C18" s="16">
        <v>12.7</v>
      </c>
    </row>
    <row r="19" spans="1:3" x14ac:dyDescent="0.3">
      <c r="A19" s="23" t="s">
        <v>57</v>
      </c>
      <c r="B19" s="12" t="s">
        <v>58</v>
      </c>
      <c r="C19" s="16">
        <f>D4</f>
        <v>30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7</v>
      </c>
    </row>
    <row r="22" spans="1:3" ht="28.8" x14ac:dyDescent="0.3">
      <c r="A22" s="23" t="s">
        <v>38</v>
      </c>
      <c r="B22" s="12" t="s">
        <v>40</v>
      </c>
      <c r="C22" s="16">
        <v>0</v>
      </c>
    </row>
    <row r="23" spans="1:3" x14ac:dyDescent="0.3">
      <c r="A23" s="23" t="s">
        <v>39</v>
      </c>
      <c r="B23" s="8" t="s">
        <v>41</v>
      </c>
      <c r="C23" s="16">
        <v>7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30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3.2" x14ac:dyDescent="0.3">
      <c r="A28" s="23" t="s">
        <v>52</v>
      </c>
      <c r="B28" s="12" t="s">
        <v>55</v>
      </c>
      <c r="C28" s="16">
        <v>50</v>
      </c>
    </row>
    <row r="29" spans="1:3" ht="28.8" x14ac:dyDescent="0.3">
      <c r="A29" s="23" t="s">
        <v>53</v>
      </c>
      <c r="B29" s="12" t="s">
        <v>54</v>
      </c>
      <c r="C29" s="16">
        <v>51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50DC-252A-41CE-AF67-1EED3925DDA8}">
  <dimension ref="A1:F29"/>
  <sheetViews>
    <sheetView showGridLines="0" workbookViewId="0">
      <selection activeCell="C22" sqref="C22"/>
    </sheetView>
  </sheetViews>
  <sheetFormatPr defaultColWidth="8.77734375" defaultRowHeight="14.4" x14ac:dyDescent="0.3"/>
  <cols>
    <col min="1" max="1" width="26.44140625" customWidth="1"/>
    <col min="2" max="2" width="57.77734375" customWidth="1"/>
    <col min="3" max="3" width="19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45474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v>582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0.4061426116838488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61</v>
      </c>
      <c r="C12" s="16">
        <v>1</v>
      </c>
      <c r="D12" s="25">
        <f>(C28/C29)*100</f>
        <v>90.909090909090907</v>
      </c>
      <c r="E12" s="8" t="str">
        <f>IF($D$12=100,"Adequado",IF($D$12&lt;100,"Suficiente",IF($D$12&lt;95,"Insuficiente",IF($D$12&lt;90,"Inadequado",IF($D$12&lt;80,"Inaceitavel")))))</f>
        <v>Suficiente</v>
      </c>
      <c r="F12" s="8" t="str">
        <f>IF($D$12=100,"10",IF($D$12&lt;100,"7,5",IF($D$12&lt;95,"5",IF($D$12&lt;90,"2,5",IF($D$12&lt;80,"0")))))</f>
        <v>7,5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582</v>
      </c>
    </row>
    <row r="16" spans="1:6" x14ac:dyDescent="0.3">
      <c r="A16" s="23" t="s">
        <v>34</v>
      </c>
      <c r="B16" s="12" t="s">
        <v>59</v>
      </c>
      <c r="C16" s="16">
        <v>216</v>
      </c>
    </row>
    <row r="17" spans="1:3" ht="28.8" x14ac:dyDescent="0.3">
      <c r="A17" s="23" t="s">
        <v>32</v>
      </c>
      <c r="B17" s="12" t="s">
        <v>36</v>
      </c>
      <c r="C17" s="16">
        <f>C15-C16</f>
        <v>366</v>
      </c>
    </row>
    <row r="18" spans="1:3" x14ac:dyDescent="0.3">
      <c r="A18" s="23" t="s">
        <v>33</v>
      </c>
      <c r="B18" s="12" t="s">
        <v>35</v>
      </c>
      <c r="C18" s="16">
        <v>15.5</v>
      </c>
    </row>
    <row r="19" spans="1:3" x14ac:dyDescent="0.3">
      <c r="A19" s="23" t="s">
        <v>57</v>
      </c>
      <c r="B19" s="12" t="s">
        <v>58</v>
      </c>
      <c r="C19" s="16">
        <f>D4</f>
        <v>31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0</v>
      </c>
    </row>
    <row r="22" spans="1:3" ht="28.8" x14ac:dyDescent="0.3">
      <c r="A22" s="23" t="s">
        <v>38</v>
      </c>
      <c r="B22" s="12" t="s">
        <v>40</v>
      </c>
      <c r="C22" s="16">
        <v>0</v>
      </c>
    </row>
    <row r="23" spans="1:3" x14ac:dyDescent="0.3">
      <c r="A23" s="23" t="s">
        <v>39</v>
      </c>
      <c r="B23" s="8" t="s">
        <v>41</v>
      </c>
      <c r="C23" s="16">
        <v>7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31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3.2" x14ac:dyDescent="0.3">
      <c r="A28" s="23" t="s">
        <v>52</v>
      </c>
      <c r="B28" s="12" t="s">
        <v>55</v>
      </c>
      <c r="C28" s="16">
        <f>44-4</f>
        <v>40</v>
      </c>
    </row>
    <row r="29" spans="1:3" ht="28.8" x14ac:dyDescent="0.3">
      <c r="A29" s="23" t="s">
        <v>53</v>
      </c>
      <c r="B29" s="12" t="s">
        <v>54</v>
      </c>
      <c r="C29" s="16">
        <v>44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C5E4-9EF3-4BCD-BE37-2B67FC6A75C3}">
  <dimension ref="A1:F29"/>
  <sheetViews>
    <sheetView showGridLines="0" workbookViewId="0">
      <selection activeCell="F21" sqref="F21"/>
    </sheetView>
  </sheetViews>
  <sheetFormatPr defaultColWidth="8.77734375" defaultRowHeight="14.4" x14ac:dyDescent="0.3"/>
  <cols>
    <col min="1" max="1" width="32.33203125" customWidth="1"/>
    <col min="2" max="2" width="66.44140625" customWidth="1"/>
    <col min="3" max="3" width="19.44140625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45505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v>635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(((C17*C18*C19))/(D5*24*C19))</f>
        <v>0.18910761154855643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10</v>
      </c>
      <c r="C12" s="16">
        <v>1</v>
      </c>
      <c r="D12" s="25">
        <f>(C28/C29)*100</f>
        <v>95.121951219512198</v>
      </c>
      <c r="E12" s="8" t="str">
        <f>IF($D$12=100,"Adequado",IF($D$12&lt;100,"Suficiente",IF($D$12&lt;95,"Insuficiente",IF($D$12&lt;90,"Inadequado",IF($D$12&lt;80,"Inaceitavel")))))</f>
        <v>Suficiente</v>
      </c>
      <c r="F12" s="8" t="str">
        <f>IF($D$12=100,"10",IF($D$12&lt;100,"7,5",IF($D$12&lt;95,"5",IF($D$12&lt;90,"2,5",IF($D$12&lt;80,"0")))))</f>
        <v>7,5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638</v>
      </c>
    </row>
    <row r="16" spans="1:6" x14ac:dyDescent="0.3">
      <c r="A16" s="23" t="s">
        <v>34</v>
      </c>
      <c r="B16" s="12" t="s">
        <v>59</v>
      </c>
      <c r="C16" s="16">
        <v>376</v>
      </c>
    </row>
    <row r="17" spans="1:3" x14ac:dyDescent="0.3">
      <c r="A17" s="23" t="s">
        <v>32</v>
      </c>
      <c r="B17" s="12" t="s">
        <v>36</v>
      </c>
      <c r="C17" s="16">
        <v>262</v>
      </c>
    </row>
    <row r="18" spans="1:3" x14ac:dyDescent="0.3">
      <c r="A18" s="23" t="s">
        <v>33</v>
      </c>
      <c r="B18" s="12" t="s">
        <v>35</v>
      </c>
      <c r="C18" s="16">
        <v>11</v>
      </c>
    </row>
    <row r="19" spans="1:3" x14ac:dyDescent="0.3">
      <c r="A19" s="23" t="s">
        <v>57</v>
      </c>
      <c r="B19" s="12" t="s">
        <v>58</v>
      </c>
      <c r="C19" s="16">
        <f>D4</f>
        <v>31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0</v>
      </c>
    </row>
    <row r="22" spans="1:3" ht="28.8" x14ac:dyDescent="0.3">
      <c r="A22" s="23" t="s">
        <v>38</v>
      </c>
      <c r="B22" s="12" t="s">
        <v>40</v>
      </c>
      <c r="C22" s="16">
        <v>0</v>
      </c>
    </row>
    <row r="23" spans="1:3" x14ac:dyDescent="0.3">
      <c r="A23" s="23" t="s">
        <v>39</v>
      </c>
      <c r="B23" s="8" t="s">
        <v>41</v>
      </c>
      <c r="C23" s="16">
        <v>7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31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3.2" x14ac:dyDescent="0.3">
      <c r="A28" s="23" t="s">
        <v>52</v>
      </c>
      <c r="B28" s="12" t="s">
        <v>55</v>
      </c>
      <c r="C28" s="16">
        <f>C29-2</f>
        <v>39</v>
      </c>
    </row>
    <row r="29" spans="1:3" ht="28.8" x14ac:dyDescent="0.3">
      <c r="A29" s="23" t="s">
        <v>53</v>
      </c>
      <c r="B29" s="12" t="s">
        <v>54</v>
      </c>
      <c r="C29" s="16">
        <v>41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36D2-F075-44DE-80B6-F56C6413A499}">
  <dimension ref="A1:F29"/>
  <sheetViews>
    <sheetView showGridLines="0" workbookViewId="0">
      <selection activeCell="C30" sqref="C30"/>
    </sheetView>
  </sheetViews>
  <sheetFormatPr defaultColWidth="8.77734375" defaultRowHeight="14.4" x14ac:dyDescent="0.3"/>
  <cols>
    <col min="1" max="1" width="27.6640625" customWidth="1"/>
    <col min="2" max="2" width="57.77734375" customWidth="1"/>
    <col min="3" max="3" width="20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45536</v>
      </c>
      <c r="E3" s="1" t="s">
        <v>16</v>
      </c>
      <c r="F3" s="13" t="s">
        <v>17</v>
      </c>
    </row>
    <row r="4" spans="1:6" x14ac:dyDescent="0.3">
      <c r="B4" s="70"/>
      <c r="C4" s="47" t="s">
        <v>6</v>
      </c>
      <c r="D4" s="8">
        <v>30</v>
      </c>
      <c r="E4" s="17"/>
      <c r="F4" s="8"/>
    </row>
    <row r="5" spans="1:6" x14ac:dyDescent="0.3">
      <c r="C5" s="47" t="s">
        <v>5</v>
      </c>
      <c r="D5" s="8">
        <v>717</v>
      </c>
      <c r="E5" s="17"/>
      <c r="F5" s="9"/>
    </row>
    <row r="6" spans="1:6" x14ac:dyDescent="0.3">
      <c r="A6" s="8"/>
      <c r="B6" s="10" t="s">
        <v>1</v>
      </c>
      <c r="C6" s="48" t="s">
        <v>2</v>
      </c>
      <c r="D6" s="8"/>
      <c r="E6" s="17"/>
      <c r="F6" s="8"/>
    </row>
    <row r="7" spans="1:6" x14ac:dyDescent="0.3">
      <c r="A7" s="8" t="s">
        <v>29</v>
      </c>
      <c r="B7" s="12" t="s">
        <v>18</v>
      </c>
      <c r="C7" s="48">
        <v>1</v>
      </c>
      <c r="D7" s="11">
        <f>(((C17*C18*C19))/(D5*24*C19))</f>
        <v>0.18026499302649931</v>
      </c>
      <c r="E7" s="17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48">
        <v>1</v>
      </c>
      <c r="D8" s="8">
        <f>(C22/C23)</f>
        <v>1</v>
      </c>
      <c r="E8" s="17" t="str">
        <f>IF($D$8=0,"Adequado",IF($D$8&lt;25,"Suficiente",IF($D$8&lt;50,"Insuficiente",IF($D$8&lt;100,"Inadequado",IF($D$8&gt;=100,"Inaceitavel")))))</f>
        <v>Suficiente</v>
      </c>
      <c r="F8" s="8" t="str">
        <f>IF($D$8=0,"10",IF($D$8&lt;25,"7,5",IF($D$8&lt;50,"5",IF($D$8&lt;100,"Inadequado",IF($D$8&gt;=100,"Inaceitavel")))))</f>
        <v>7,5</v>
      </c>
    </row>
    <row r="9" spans="1:6" x14ac:dyDescent="0.3">
      <c r="A9" s="8" t="s">
        <v>37</v>
      </c>
      <c r="B9" s="8" t="s">
        <v>12</v>
      </c>
      <c r="C9" s="48">
        <v>1</v>
      </c>
      <c r="D9" s="8">
        <f>(C22/C23)*100</f>
        <v>100</v>
      </c>
      <c r="E9" s="17" t="str">
        <f>IF($D$9&gt;=95,"Adequado",IF($D$9&lt;95,"Suficiente",IF($D$9&lt;90,"Insuficiente",IF($D$9&lt;80,"Inadequado",IF($D$9&gt;70,"Inaceitavel")))))</f>
        <v>Adequado</v>
      </c>
      <c r="F9" s="8" t="str">
        <f>IF($D$9&gt;=95,"10",IF($D$9&lt;95,"7,5",IF($D$9&lt;90,"5",IF($D$9&lt;80,"2,5",IF($D$9&gt;70,"0")))))</f>
        <v>10</v>
      </c>
    </row>
    <row r="10" spans="1:6" x14ac:dyDescent="0.3">
      <c r="A10" s="8" t="s">
        <v>42</v>
      </c>
      <c r="B10" s="8" t="s">
        <v>8</v>
      </c>
      <c r="C10" s="48">
        <v>0</v>
      </c>
      <c r="D10" s="8">
        <f>C24/C25</f>
        <v>0</v>
      </c>
      <c r="E10" s="17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48">
        <v>0</v>
      </c>
      <c r="D11" s="8">
        <f>C26/C27*C11</f>
        <v>0</v>
      </c>
      <c r="E11" s="17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x14ac:dyDescent="0.3">
      <c r="A12" s="8" t="s">
        <v>51</v>
      </c>
      <c r="B12" s="8" t="s">
        <v>61</v>
      </c>
      <c r="C12" s="48">
        <v>1</v>
      </c>
      <c r="D12" s="49">
        <f>(C28/C29)*100</f>
        <v>97.9381443298969</v>
      </c>
      <c r="E12" s="17" t="str">
        <f>IF($D$12=100,"Adequado",IF($D$12&lt;100,"Suficiente",IF($D$12&lt;95,"Insuficiente",IF($D$12&lt;90,"Inadequado",IF($D$12&lt;80,"Inaceitavel")))))</f>
        <v>Suficiente</v>
      </c>
      <c r="F12" s="8" t="str">
        <f>IF($D$12=100,"10",IF($D$12&lt;100,"7,5",IF($D$12&lt;95,"5",IF($D$12&lt;90,"2,5",IF($D$12&lt;80,"0")))))</f>
        <v>7,5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50">
        <v>678</v>
      </c>
    </row>
    <row r="16" spans="1:6" x14ac:dyDescent="0.3">
      <c r="A16" s="23" t="s">
        <v>34</v>
      </c>
      <c r="B16" s="12" t="s">
        <v>59</v>
      </c>
      <c r="C16" s="16">
        <v>391</v>
      </c>
    </row>
    <row r="17" spans="1:3" ht="28.8" x14ac:dyDescent="0.3">
      <c r="A17" s="23" t="s">
        <v>32</v>
      </c>
      <c r="B17" s="12" t="s">
        <v>36</v>
      </c>
      <c r="C17" s="16">
        <v>282</v>
      </c>
    </row>
    <row r="18" spans="1:3" x14ac:dyDescent="0.3">
      <c r="A18" s="23" t="s">
        <v>33</v>
      </c>
      <c r="B18" s="12" t="s">
        <v>35</v>
      </c>
      <c r="C18" s="16">
        <v>11</v>
      </c>
    </row>
    <row r="19" spans="1:3" x14ac:dyDescent="0.3">
      <c r="A19" s="23" t="s">
        <v>57</v>
      </c>
      <c r="B19" s="12" t="s">
        <v>58</v>
      </c>
      <c r="C19" s="16">
        <f>D4</f>
        <v>30</v>
      </c>
    </row>
    <row r="20" spans="1:3" ht="43.2" x14ac:dyDescent="0.3">
      <c r="A20" s="23" t="s">
        <v>25</v>
      </c>
      <c r="B20" s="12" t="s">
        <v>26</v>
      </c>
      <c r="C20" s="16">
        <v>0</v>
      </c>
    </row>
    <row r="21" spans="1:3" ht="28.8" x14ac:dyDescent="0.3">
      <c r="A21" s="23" t="s">
        <v>27</v>
      </c>
      <c r="B21" s="12" t="s">
        <v>24</v>
      </c>
      <c r="C21" s="16">
        <v>7</v>
      </c>
    </row>
    <row r="22" spans="1:3" ht="28.8" x14ac:dyDescent="0.3">
      <c r="A22" s="23" t="s">
        <v>38</v>
      </c>
      <c r="B22" s="12" t="s">
        <v>40</v>
      </c>
      <c r="C22" s="16">
        <v>8</v>
      </c>
    </row>
    <row r="23" spans="1:3" x14ac:dyDescent="0.3">
      <c r="A23" s="23" t="s">
        <v>39</v>
      </c>
      <c r="B23" s="8" t="s">
        <v>41</v>
      </c>
      <c r="C23" s="16">
        <v>8</v>
      </c>
    </row>
    <row r="24" spans="1:3" ht="28.8" x14ac:dyDescent="0.3">
      <c r="A24" s="23" t="s">
        <v>43</v>
      </c>
      <c r="B24" s="12" t="s">
        <v>45</v>
      </c>
      <c r="C24" s="16">
        <v>0</v>
      </c>
    </row>
    <row r="25" spans="1:3" x14ac:dyDescent="0.3">
      <c r="A25" s="23" t="s">
        <v>44</v>
      </c>
      <c r="B25" s="8" t="s">
        <v>56</v>
      </c>
      <c r="C25" s="16">
        <f>D4</f>
        <v>30</v>
      </c>
    </row>
    <row r="26" spans="1:3" ht="43.2" x14ac:dyDescent="0.3">
      <c r="A26" s="23" t="s">
        <v>47</v>
      </c>
      <c r="B26" s="12" t="s">
        <v>49</v>
      </c>
      <c r="C26" s="16">
        <v>0</v>
      </c>
    </row>
    <row r="27" spans="1:3" x14ac:dyDescent="0.3">
      <c r="A27" s="23" t="s">
        <v>48</v>
      </c>
      <c r="B27" s="8" t="s">
        <v>50</v>
      </c>
      <c r="C27" s="16">
        <v>7.8</v>
      </c>
    </row>
    <row r="28" spans="1:3" ht="43.2" x14ac:dyDescent="0.3">
      <c r="A28" s="23" t="s">
        <v>52</v>
      </c>
      <c r="B28" s="12" t="s">
        <v>55</v>
      </c>
      <c r="C28" s="16">
        <v>95</v>
      </c>
    </row>
    <row r="29" spans="1:3" ht="28.8" x14ac:dyDescent="0.3">
      <c r="A29" s="23" t="s">
        <v>53</v>
      </c>
      <c r="B29" s="12" t="s">
        <v>54</v>
      </c>
      <c r="C29" s="16">
        <v>97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9BD5-5BE7-415D-92AA-17E9186F9218}">
  <dimension ref="A1:F29"/>
  <sheetViews>
    <sheetView showGridLines="0" workbookViewId="0">
      <selection activeCell="D17" sqref="D17"/>
    </sheetView>
  </sheetViews>
  <sheetFormatPr defaultColWidth="8.77734375" defaultRowHeight="14.4" x14ac:dyDescent="0.3"/>
  <cols>
    <col min="1" max="1" width="26.21875" bestFit="1" customWidth="1"/>
    <col min="2" max="2" width="67.77734375" bestFit="1" customWidth="1"/>
    <col min="3" max="3" width="19" bestFit="1" customWidth="1"/>
    <col min="5" max="5" width="12.44140625" customWidth="1"/>
    <col min="6" max="6" width="10.44140625" customWidth="1"/>
  </cols>
  <sheetData>
    <row r="1" spans="1:6" x14ac:dyDescent="0.3">
      <c r="B1" s="70"/>
      <c r="D1" s="3"/>
      <c r="E1" s="3"/>
      <c r="F1" s="3"/>
    </row>
    <row r="2" spans="1:6" x14ac:dyDescent="0.3">
      <c r="B2" s="70"/>
      <c r="D2" s="3"/>
      <c r="E2" s="3"/>
      <c r="F2" s="3"/>
    </row>
    <row r="3" spans="1:6" ht="30" customHeight="1" x14ac:dyDescent="0.3">
      <c r="B3" s="70"/>
      <c r="D3" s="1">
        <v>45566</v>
      </c>
      <c r="E3" s="1" t="s">
        <v>16</v>
      </c>
      <c r="F3" s="13" t="s">
        <v>17</v>
      </c>
    </row>
    <row r="4" spans="1:6" x14ac:dyDescent="0.3">
      <c r="B4" s="70"/>
      <c r="C4" s="7" t="s">
        <v>6</v>
      </c>
      <c r="D4" s="8">
        <v>31</v>
      </c>
      <c r="E4" s="8"/>
      <c r="F4" s="8"/>
    </row>
    <row r="5" spans="1:6" x14ac:dyDescent="0.3">
      <c r="C5" s="7" t="s">
        <v>5</v>
      </c>
      <c r="D5" s="8">
        <f>C15</f>
        <v>733</v>
      </c>
      <c r="E5" s="8"/>
      <c r="F5" s="9"/>
    </row>
    <row r="6" spans="1:6" ht="15" thickBot="1" x14ac:dyDescent="0.35">
      <c r="A6" s="8"/>
      <c r="B6" s="10" t="s">
        <v>1</v>
      </c>
      <c r="C6" s="16" t="s">
        <v>2</v>
      </c>
      <c r="D6" s="9"/>
      <c r="E6" s="8"/>
      <c r="F6" s="8"/>
    </row>
    <row r="7" spans="1:6" x14ac:dyDescent="0.3">
      <c r="A7" s="8" t="s">
        <v>29</v>
      </c>
      <c r="B7" s="12" t="s">
        <v>18</v>
      </c>
      <c r="C7" s="16">
        <v>1</v>
      </c>
      <c r="D7" s="24">
        <f>(((C17*C18*C19))/(D5*24*C19)+(((D17*D18*D19))/(D5*24*D19)))</f>
        <v>0.7172010004547521</v>
      </c>
      <c r="E7" s="8" t="str">
        <f>IF($D$7=0,"Adequado",IF($D$7&lt;1,"Suficiente",IF($D$7&lt;2,"Insuficiente",IF($D$7&lt;5,"Inadequado",IF($D$7&gt;5,"Inaceitavel")))))</f>
        <v>Suficiente</v>
      </c>
      <c r="F7" s="8" t="str">
        <f>IF($D$7=0,"10",IF($D$7&lt;1,"7,5",IF($D$7&lt;2,"5",IF($D$7&lt;5,"2,5",IF($D$7&gt;5,"0")))))</f>
        <v>7,5</v>
      </c>
    </row>
    <row r="8" spans="1:6" ht="28.8" x14ac:dyDescent="0.3">
      <c r="A8" s="8" t="s">
        <v>28</v>
      </c>
      <c r="B8" s="12" t="s">
        <v>7</v>
      </c>
      <c r="C8" s="16">
        <v>1</v>
      </c>
      <c r="D8" s="18">
        <f>(C22/C23)</f>
        <v>0</v>
      </c>
      <c r="E8" s="8" t="str">
        <f>IF($D$8=0,"Adequado",IF($D$8&lt;25,"Suficiente",IF($D$8&lt;50,"Insuficiente",IF($D$8&lt;100,"Inadequado",IF($D$8&gt;=100,"Inaceitavel")))))</f>
        <v>Adequado</v>
      </c>
      <c r="F8" s="8" t="str">
        <f>IF($D$8=0,"10",IF($D$8&lt;25,"7,5",IF($D$8&lt;50,"5",IF($D$8&lt;100,"Inadequado",IF($D$8&gt;=100,"Inaceitavel")))))</f>
        <v>10</v>
      </c>
    </row>
    <row r="9" spans="1:6" x14ac:dyDescent="0.3">
      <c r="A9" s="8" t="s">
        <v>37</v>
      </c>
      <c r="B9" s="8" t="s">
        <v>12</v>
      </c>
      <c r="C9" s="16">
        <v>1</v>
      </c>
      <c r="D9" s="18">
        <v>0</v>
      </c>
      <c r="E9" s="8" t="str">
        <f>IF($D$9&gt;=95,"Adequado",IF($D$9&lt;95,"Suficiente",IF($D$9&lt;90,"Insuficiente",IF($D$9&lt;80,"Inadequado",IF($D$9&gt;70,"Inaceitavel")))))</f>
        <v>Suficiente</v>
      </c>
      <c r="F9" s="8" t="str">
        <f>IF($D$9&gt;=95,"10",IF($D$9&lt;95,"7,5",IF($D$9&lt;90,"5",IF($D$9&lt;80,"2,5",IF($D$9&gt;70,"0")))))</f>
        <v>7,5</v>
      </c>
    </row>
    <row r="10" spans="1:6" x14ac:dyDescent="0.3">
      <c r="A10" s="8" t="s">
        <v>42</v>
      </c>
      <c r="B10" s="8" t="s">
        <v>8</v>
      </c>
      <c r="C10" s="16">
        <v>0</v>
      </c>
      <c r="D10" s="18">
        <f>C24/C25</f>
        <v>0</v>
      </c>
      <c r="E10" s="8" t="str">
        <f>IF($D$10=0,"Adequado",IF($D$10&lt;1,"Suficiente",IF($D$10&lt;3,"Insuficiente",IF($D$10&lt;5,"Inadequado",IF($D$10&gt;5,"Inaceitavel")))))</f>
        <v>Adequado</v>
      </c>
      <c r="F10" s="8" t="str">
        <f>IF($D$10=0,"10",IF($D$10&lt;1,"7,5",IF($D$10&lt;3,"5",IF($D$10&lt;5,"2,5",IF($D$10&gt;5,"0")))))</f>
        <v>10</v>
      </c>
    </row>
    <row r="11" spans="1:6" x14ac:dyDescent="0.3">
      <c r="A11" s="8" t="s">
        <v>46</v>
      </c>
      <c r="B11" s="8" t="s">
        <v>9</v>
      </c>
      <c r="C11" s="16">
        <v>0</v>
      </c>
      <c r="D11" s="18">
        <f>C26/C27*C11</f>
        <v>0</v>
      </c>
      <c r="E11" s="8" t="str">
        <f>IF($D$11&lt;=1,"Adequado",IF($D$11&lt;3,"Suficiente",IF($D$11&lt;5,"Insuficiente",IF($D$11&lt;10,"Inadequado",IF($D$11&gt;10,"Inaceitavel")))))</f>
        <v>Adequado</v>
      </c>
      <c r="F11" s="8" t="str">
        <f>IF($D$11&lt;=1,"10",IF($D$11&lt;3,"7,5",IF($D$11&lt;5,"5",IF($D$11&lt;10,"2,5",IF($D$11&gt;10,"0")))))</f>
        <v>10</v>
      </c>
    </row>
    <row r="12" spans="1:6" ht="15" thickBot="1" x14ac:dyDescent="0.35">
      <c r="A12" s="8" t="s">
        <v>51</v>
      </c>
      <c r="B12" s="8" t="s">
        <v>62</v>
      </c>
      <c r="C12" s="16">
        <v>1</v>
      </c>
      <c r="D12" s="25">
        <f>(C28/C29)*100</f>
        <v>100</v>
      </c>
      <c r="E12" s="8" t="str">
        <f>IF($D$12=100,"Adequado",IF($D$12&lt;100,"Suficiente",IF($D$12&lt;95,"Insuficiente",IF($D$12&lt;90,"Inadequado",IF($D$12&lt;80,"Inaceitavel")))))</f>
        <v>Adequado</v>
      </c>
      <c r="F12" s="8" t="str">
        <f>IF($D$12=100,"10",IF($D$12&lt;100,"7,5",IF($D$12&lt;95,"5",IF($D$12&lt;90,"2,5",IF($D$12&lt;80,"0")))))</f>
        <v>10</v>
      </c>
    </row>
    <row r="13" spans="1:6" x14ac:dyDescent="0.3">
      <c r="C13" s="20"/>
      <c r="D13" s="21"/>
    </row>
    <row r="14" spans="1:6" x14ac:dyDescent="0.3">
      <c r="A14" s="22"/>
      <c r="B14" s="8" t="s">
        <v>23</v>
      </c>
      <c r="C14" s="8"/>
    </row>
    <row r="15" spans="1:6" x14ac:dyDescent="0.3">
      <c r="A15" s="23" t="s">
        <v>30</v>
      </c>
      <c r="B15" s="12" t="s">
        <v>31</v>
      </c>
      <c r="C15" s="16">
        <v>733</v>
      </c>
    </row>
    <row r="16" spans="1:6" x14ac:dyDescent="0.3">
      <c r="A16" s="23" t="s">
        <v>34</v>
      </c>
      <c r="B16" s="12" t="s">
        <v>59</v>
      </c>
      <c r="C16" s="51">
        <v>156</v>
      </c>
    </row>
    <row r="17" spans="1:4" x14ac:dyDescent="0.3">
      <c r="A17" s="23" t="s">
        <v>32</v>
      </c>
      <c r="B17" s="12" t="s">
        <v>36</v>
      </c>
      <c r="C17" s="16">
        <f>C15-C16</f>
        <v>577</v>
      </c>
      <c r="D17" s="16">
        <v>156</v>
      </c>
    </row>
    <row r="18" spans="1:4" x14ac:dyDescent="0.3">
      <c r="A18" s="23" t="s">
        <v>33</v>
      </c>
      <c r="B18" s="12" t="s">
        <v>35</v>
      </c>
      <c r="C18" s="16">
        <v>17</v>
      </c>
      <c r="D18" s="16">
        <v>18</v>
      </c>
    </row>
    <row r="19" spans="1:4" x14ac:dyDescent="0.3">
      <c r="A19" s="23" t="s">
        <v>57</v>
      </c>
      <c r="B19" s="12" t="s">
        <v>58</v>
      </c>
      <c r="C19" s="16">
        <f>D4</f>
        <v>31</v>
      </c>
      <c r="D19" s="16">
        <v>6</v>
      </c>
    </row>
    <row r="20" spans="1:4" ht="43.2" x14ac:dyDescent="0.3">
      <c r="A20" s="23" t="s">
        <v>25</v>
      </c>
      <c r="B20" s="12" t="s">
        <v>26</v>
      </c>
      <c r="C20" s="6">
        <v>0</v>
      </c>
    </row>
    <row r="21" spans="1:4" ht="28.8" x14ac:dyDescent="0.3">
      <c r="A21" s="23" t="s">
        <v>27</v>
      </c>
      <c r="B21" s="12" t="s">
        <v>24</v>
      </c>
      <c r="C21" s="16">
        <v>0</v>
      </c>
    </row>
    <row r="22" spans="1:4" ht="28.8" x14ac:dyDescent="0.3">
      <c r="A22" s="23" t="s">
        <v>38</v>
      </c>
      <c r="B22" s="12" t="s">
        <v>40</v>
      </c>
      <c r="C22" s="16">
        <v>0</v>
      </c>
    </row>
    <row r="23" spans="1:4" x14ac:dyDescent="0.3">
      <c r="A23" s="23" t="s">
        <v>39</v>
      </c>
      <c r="B23" s="8" t="s">
        <v>41</v>
      </c>
      <c r="C23" s="16">
        <v>9</v>
      </c>
    </row>
    <row r="24" spans="1:4" ht="28.8" x14ac:dyDescent="0.3">
      <c r="A24" s="23" t="s">
        <v>43</v>
      </c>
      <c r="B24" s="12" t="s">
        <v>45</v>
      </c>
      <c r="C24" s="16">
        <v>0</v>
      </c>
    </row>
    <row r="25" spans="1:4" x14ac:dyDescent="0.3">
      <c r="A25" s="23" t="s">
        <v>44</v>
      </c>
      <c r="B25" s="8" t="s">
        <v>56</v>
      </c>
      <c r="C25" s="16">
        <f>D4</f>
        <v>31</v>
      </c>
    </row>
    <row r="26" spans="1:4" ht="43.2" x14ac:dyDescent="0.3">
      <c r="A26" s="23" t="s">
        <v>47</v>
      </c>
      <c r="B26" s="12" t="s">
        <v>49</v>
      </c>
      <c r="C26" s="16">
        <v>0</v>
      </c>
    </row>
    <row r="27" spans="1:4" x14ac:dyDescent="0.3">
      <c r="A27" s="23" t="s">
        <v>48</v>
      </c>
      <c r="B27" s="8" t="s">
        <v>50</v>
      </c>
      <c r="C27" s="16">
        <v>7.8</v>
      </c>
    </row>
    <row r="28" spans="1:4" ht="43.2" x14ac:dyDescent="0.3">
      <c r="A28" s="23" t="s">
        <v>52</v>
      </c>
      <c r="B28" s="12" t="s">
        <v>55</v>
      </c>
      <c r="C28" s="16">
        <v>134</v>
      </c>
    </row>
    <row r="29" spans="1:4" ht="28.8" x14ac:dyDescent="0.3">
      <c r="A29" s="23" t="s">
        <v>53</v>
      </c>
      <c r="B29" s="12" t="s">
        <v>54</v>
      </c>
      <c r="C29" s="16">
        <v>134</v>
      </c>
    </row>
  </sheetData>
  <mergeCells count="1">
    <mergeCell ref="B1:B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12 meses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Janeiro 25</vt:lpstr>
      <vt:lpstr>Fevereiro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Naissinger</dc:creator>
  <cp:lastModifiedBy>Samsung</cp:lastModifiedBy>
  <cp:lastPrinted>2024-07-03T19:42:59Z</cp:lastPrinted>
  <dcterms:created xsi:type="dcterms:W3CDTF">2024-02-22T18:10:40Z</dcterms:created>
  <dcterms:modified xsi:type="dcterms:W3CDTF">2025-06-06T11:13:13Z</dcterms:modified>
</cp:coreProperties>
</file>